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N\waltner\Desktop\"/>
    </mc:Choice>
  </mc:AlternateContent>
  <xr:revisionPtr revIDLastSave="0" documentId="13_ncr:1_{9FD1E41A-5911-4AC1-B319-F6E54C7DF6A3}" xr6:coauthVersionLast="36" xr6:coauthVersionMax="36" xr10:uidLastSave="{00000000-0000-0000-0000-000000000000}"/>
  <bookViews>
    <workbookView xWindow="120" yWindow="465" windowWidth="40185" windowHeight="25905" xr2:uid="{00000000-000D-0000-FFFF-FFFF00000000}"/>
  </bookViews>
  <sheets>
    <sheet name="Stammdaten" sheetId="4" r:id="rId1"/>
    <sheet name="Kostenrechnung" sheetId="1" r:id="rId2"/>
    <sheet name="Sickerwassergrube" sheetId="3" r:id="rId3"/>
    <sheet name="Materialliste" sheetId="2" r:id="rId4"/>
  </sheets>
  <definedNames>
    <definedName name="_xlnm.Print_Area" localSheetId="1">Kostenrechnung!$A$1:$L$116</definedName>
  </definedNames>
  <calcPr calcId="191029"/>
</workbook>
</file>

<file path=xl/calcChain.xml><?xml version="1.0" encoding="utf-8"?>
<calcChain xmlns="http://schemas.openxmlformats.org/spreadsheetml/2006/main">
  <c r="G65" i="1" l="1"/>
  <c r="B17" i="3"/>
  <c r="K7" i="3"/>
  <c r="J7" i="3"/>
  <c r="I7" i="3"/>
  <c r="H7" i="3"/>
  <c r="G7" i="3"/>
  <c r="B6" i="3" l="1"/>
  <c r="B11" i="3" s="1"/>
  <c r="B19" i="3"/>
  <c r="B10" i="3"/>
  <c r="B12" i="3" l="1"/>
  <c r="B13" i="3" s="1"/>
  <c r="H20" i="1"/>
  <c r="E91" i="1"/>
  <c r="K52" i="1"/>
  <c r="K47" i="1"/>
  <c r="K85" i="1"/>
  <c r="I20" i="1"/>
  <c r="I98" i="1" s="1"/>
  <c r="K20" i="1"/>
  <c r="K46" i="1" l="1"/>
  <c r="K53" i="1"/>
  <c r="I87" i="1"/>
  <c r="I94" i="1"/>
  <c r="K98" i="1"/>
  <c r="I48" i="1"/>
  <c r="I43" i="1"/>
  <c r="I49" i="1"/>
  <c r="I51" i="1"/>
  <c r="I54" i="1"/>
  <c r="I56" i="1"/>
  <c r="K87" i="1"/>
  <c r="K94" i="1"/>
  <c r="I97" i="1"/>
  <c r="I99" i="1"/>
  <c r="K48" i="1"/>
  <c r="K50" i="1"/>
  <c r="K55" i="1"/>
  <c r="K43" i="1"/>
  <c r="K49" i="1"/>
  <c r="K51" i="1"/>
  <c r="K54" i="1"/>
  <c r="K56" i="1"/>
  <c r="I95" i="1"/>
  <c r="K97" i="1"/>
  <c r="K99" i="1"/>
  <c r="I46" i="1"/>
  <c r="I50" i="1"/>
  <c r="I53" i="1"/>
  <c r="I55" i="1"/>
  <c r="K95" i="1"/>
  <c r="H85" i="1"/>
  <c r="G96" i="1"/>
  <c r="K96" i="1" s="1"/>
  <c r="G28" i="1"/>
  <c r="G83" i="1"/>
  <c r="K83" i="1" s="1"/>
  <c r="G91" i="1"/>
  <c r="G44" i="1"/>
  <c r="K44" i="1" s="1"/>
  <c r="D66" i="1"/>
  <c r="G110" i="1"/>
  <c r="G109" i="1"/>
  <c r="G108" i="1"/>
  <c r="G107" i="1"/>
  <c r="H80" i="1"/>
  <c r="H79" i="1"/>
  <c r="H78" i="1"/>
  <c r="I44" i="1" l="1"/>
  <c r="G111" i="1"/>
  <c r="I111" i="1" l="1"/>
  <c r="K111" i="1"/>
  <c r="G82" i="1"/>
  <c r="G66" i="1"/>
  <c r="I82" i="1" l="1"/>
  <c r="K82" i="1"/>
  <c r="D67" i="1"/>
  <c r="D64" i="1"/>
  <c r="G64" i="1" s="1"/>
  <c r="D45" i="1"/>
  <c r="G45" i="1" s="1"/>
  <c r="G57" i="1" l="1"/>
  <c r="I45" i="1"/>
  <c r="I57" i="1" s="1"/>
  <c r="K45" i="1"/>
  <c r="K57" i="1" s="1"/>
  <c r="G69" i="1"/>
  <c r="D59" i="1"/>
  <c r="G67" i="1"/>
  <c r="G81" i="1"/>
  <c r="G86" i="1" s="1"/>
  <c r="G88" i="1" l="1"/>
  <c r="K86" i="1"/>
  <c r="K88" i="1" s="1"/>
  <c r="I86" i="1"/>
  <c r="I88" i="1" s="1"/>
  <c r="G34" i="1"/>
  <c r="G36" i="1"/>
  <c r="G68" i="1"/>
  <c r="G100" i="1"/>
  <c r="G101" i="1" l="1"/>
  <c r="I100" i="1"/>
  <c r="I101" i="1" s="1"/>
  <c r="K100" i="1"/>
  <c r="K101" i="1" s="1"/>
  <c r="G59" i="1"/>
  <c r="G75" i="1" s="1"/>
  <c r="G76" i="1" l="1"/>
  <c r="I76" i="1" l="1"/>
  <c r="I103" i="1" s="1"/>
  <c r="K76" i="1"/>
  <c r="K103" i="1" s="1"/>
  <c r="G103" i="1"/>
  <c r="K104" i="1" l="1"/>
  <c r="K115" i="1"/>
  <c r="I104" i="1"/>
  <c r="I113" i="1"/>
</calcChain>
</file>

<file path=xl/sharedStrings.xml><?xml version="1.0" encoding="utf-8"?>
<sst xmlns="http://schemas.openxmlformats.org/spreadsheetml/2006/main" count="193" uniqueCount="167">
  <si>
    <t>Übernahmemengen</t>
  </si>
  <si>
    <t>SUMME</t>
  </si>
  <si>
    <t>Übergabemengen</t>
  </si>
  <si>
    <t>Qualitätskompost A+</t>
  </si>
  <si>
    <t>Störstoffanteil</t>
  </si>
  <si>
    <t>Kompostplatz</t>
  </si>
  <si>
    <t>Hauptrottefläche</t>
  </si>
  <si>
    <t>Nachrottefläche</t>
  </si>
  <si>
    <t>Sickerwassergrube</t>
  </si>
  <si>
    <t>(1.000 mm Niederschlag)</t>
  </si>
  <si>
    <t>variable Kosten</t>
  </si>
  <si>
    <t>Lfd. Betriebsaufw.</t>
  </si>
  <si>
    <t>Entsorgungskosten Störstoffe</t>
  </si>
  <si>
    <t>Geringw. Wirtschaftsgüter</t>
  </si>
  <si>
    <t>Treibstoffe, Schmiermittel</t>
  </si>
  <si>
    <t>Maschinenemiete Sieb/Windsichter</t>
  </si>
  <si>
    <t>Reparatur/Instandhaltung Gebäude</t>
  </si>
  <si>
    <t>Reparatur/Instandhaltung Maschinen</t>
  </si>
  <si>
    <t>Reparatur/Instandhaltung sonstiges</t>
  </si>
  <si>
    <t>Steuern, Versicherung, Abgaben</t>
  </si>
  <si>
    <t>Investitionskosten Gebäude</t>
  </si>
  <si>
    <t>Grundstück</t>
  </si>
  <si>
    <t>Planung</t>
  </si>
  <si>
    <t>Waage</t>
  </si>
  <si>
    <t>Anprallwand</t>
  </si>
  <si>
    <t>Nachrotte geschottert</t>
  </si>
  <si>
    <t>Manipulation geschottert</t>
  </si>
  <si>
    <t>Lager Siebreste, Kompost</t>
  </si>
  <si>
    <t>Betriebscontainer</t>
  </si>
  <si>
    <t>Aussenanlagen</t>
  </si>
  <si>
    <t>Reserve</t>
  </si>
  <si>
    <t>durchschnittliche Jährliche Kapitalkosten</t>
  </si>
  <si>
    <t>fixe Maschinenkosten</t>
  </si>
  <si>
    <t>Radlader, Einsatzstunden</t>
  </si>
  <si>
    <t>Umsetzer inkl. Traktor, Einsatzstunden</t>
  </si>
  <si>
    <t>Traktor, Einsatzstunden</t>
  </si>
  <si>
    <t>SUMME Einsatzstunden</t>
  </si>
  <si>
    <t>Arbeitserledigungskosten</t>
  </si>
  <si>
    <t>Arbeitszeit Radlader/Traktor</t>
  </si>
  <si>
    <t>Personalkosten</t>
  </si>
  <si>
    <t>sonstige Kosten</t>
  </si>
  <si>
    <t>Laboranalysen</t>
  </si>
  <si>
    <t>Büromaterial, Steuerberatung,..</t>
  </si>
  <si>
    <t>Mitgliedschaft Verband</t>
  </si>
  <si>
    <t>Gesamtkosten</t>
  </si>
  <si>
    <t>€ Gesamt</t>
  </si>
  <si>
    <t>€/t Input</t>
  </si>
  <si>
    <t>Kompostverkauf</t>
  </si>
  <si>
    <t>Umsatz Kompostverkauf</t>
  </si>
  <si>
    <t>Qualitätsklärschlammkompost A</t>
  </si>
  <si>
    <t>Qualitätskompost A</t>
  </si>
  <si>
    <t>sonstige (Klärschlamm-) Komposte</t>
  </si>
  <si>
    <t>92499 - aufbereitete Abfälle gemäß Kompostverordnung idgF</t>
  </si>
  <si>
    <t>92199 - aufbereitete Abfälle gemäß Kompostverordnung idgF ohne tierische Anteile</t>
  </si>
  <si>
    <t>92150 - Mischungen von Abfällen der Abfallgruppe 921, ausgenommen Schlüssel-Nr. 92130 Glycerinphase, zur Vergärung</t>
  </si>
  <si>
    <t>92401 - Mischungen von Abfällen der Abfallgruppe 921, zur Kompostierung</t>
  </si>
  <si>
    <t>92450 - Mischungen von Abfällen der Abfallgruppen 924 und 921, die tierische Anteile enthalten, zur Vergärung</t>
  </si>
  <si>
    <t>92102 - Mähgut, Laub</t>
  </si>
  <si>
    <t>92105 - Holz</t>
  </si>
  <si>
    <t>92212 - Kommunale Klärschlämme</t>
  </si>
  <si>
    <t>92201 - kommunale Qualitätsklärschlämme</t>
  </si>
  <si>
    <t>92304 - Erde</t>
  </si>
  <si>
    <t>92301 - Gesteinsmehl</t>
  </si>
  <si>
    <t>92302 - Kalk</t>
  </si>
  <si>
    <t>92303 - Pflanzenasche</t>
  </si>
  <si>
    <t>92118 - Biologisch abbaubare Verpackungen</t>
  </si>
  <si>
    <t>92205 - Bleicherde</t>
  </si>
  <si>
    <t>92404 - ehemalige Lebensmittel tierischer Herkunft</t>
  </si>
  <si>
    <t>92106 - Ernte- und Verarbeitungsrückstände</t>
  </si>
  <si>
    <t>92502 - Fest- und Flüssigmist nicht für Ökolandbau</t>
  </si>
  <si>
    <t>92410 - Fest- und Flüssigmist/ökologischer Landbau</t>
  </si>
  <si>
    <t>92116 - Friedhofsabfälle</t>
  </si>
  <si>
    <t>92420 - Gärrückstände aus der anaeroben Behandlung von Ausgangsmaterialien der Abfallgruppen 921 und 924 mit tierischen Anteilen</t>
  </si>
  <si>
    <t>92506 - Gärrückstände aus der anaeroben Behandlung von Ausgangsmaterialien der Abfallgruppen 921, 922, 924 und 925 mit tierischen Anteilen</t>
  </si>
  <si>
    <t>92120 - Gärrückstände der Abfallgruppe 921 aus der anaeroben Behandlung</t>
  </si>
  <si>
    <t>92203 - gering belastete Pressfilter-, Extraktions- und Ölsaatenrückstände der Nahrungs-, Genuss- und Futtermittelindustrie ausschließlich pflanzlicher Herkunft</t>
  </si>
  <si>
    <t>92202 - gering belastete Schlämme aus der Nahrungs-, Genuss- und Futtermittelindustrie ausschließlich pflanzlicher Herkunft</t>
  </si>
  <si>
    <t>92408 - Horn-, Huf-, Haar- und Federabfälle</t>
  </si>
  <si>
    <t>92402 - Küchen- und Speiseabfälle, die tierische Speisereste enthalten</t>
  </si>
  <si>
    <t>92401 - Mischungen von Abfällen der Abfallgruppen 924 und 921, die tierische Anteile enthalten, zur Kompostierung</t>
  </si>
  <si>
    <t>92425 - Molkereiabfälle</t>
  </si>
  <si>
    <t>92103 - Obst- und Gemüseabfälle, Blumen</t>
  </si>
  <si>
    <t>92409 - Panseninhalt</t>
  </si>
  <si>
    <t>92107 - pflanzliche Lebens- und Genussmittelreste</t>
  </si>
  <si>
    <t>92406 - Pressfilterrückstände aus getrennter Prozessabwassererfassung der Nahrungs- und Genuss- und Futtermittelindustrie mit tiereischen Anteilen</t>
  </si>
  <si>
    <t>92110 - rein pflanzliche Press- und Filterrückstände der Nahrungs-, Genuss- und Futtermittelproduktion</t>
  </si>
  <si>
    <t>92104 - Rinde</t>
  </si>
  <si>
    <t>91102 - Rückstände aus der biologischen Abfallbehandlung</t>
  </si>
  <si>
    <t>94803 - Schlamm aus der biologischen Abwasserbehandlung der Zellstoff- u. Papierherstellung</t>
  </si>
  <si>
    <t>92121 - Speiseöle und -fette, Fettabscheiderinhalte, rein pflanzlich</t>
  </si>
  <si>
    <t>92403 - Speiseöle und -fette, Fettabscheiderinhalte, tierisch oder tierische Anteile enthaltend</t>
  </si>
  <si>
    <t>92111 - verdorbenes Saatgut</t>
  </si>
  <si>
    <t>Kompostanlage Beispiel</t>
  </si>
  <si>
    <t>Sozialversicherung</t>
  </si>
  <si>
    <t>Maschinenmiete Shredder</t>
  </si>
  <si>
    <t>Gutachten</t>
  </si>
  <si>
    <t>sonstiges</t>
  </si>
  <si>
    <t>sonstige Arbeitszeit</t>
  </si>
  <si>
    <t>gelbe Zellen sind Eingabezellen</t>
  </si>
  <si>
    <t>Übernahmemengen: bitte Zelle anklicken und aus der Liste auswählen</t>
  </si>
  <si>
    <t>Übernahme Haushaltstonne</t>
  </si>
  <si>
    <t>Anzahl der Tourenintervalle</t>
  </si>
  <si>
    <t>durchschn. Tourenlänge</t>
  </si>
  <si>
    <t>Tour 1</t>
  </si>
  <si>
    <t>Tour 2</t>
  </si>
  <si>
    <t>Tour 3</t>
  </si>
  <si>
    <t>Investitionskosten Behälter</t>
  </si>
  <si>
    <t>Arbeitszeit Sammlung</t>
  </si>
  <si>
    <t>Kollektivvertrag für Angestellte im Handwerk und Gewerbe</t>
  </si>
  <si>
    <t>Fixe Kosten Sammelfahrzeug</t>
  </si>
  <si>
    <t>durchschn. Kosten Behälter</t>
  </si>
  <si>
    <t>Anzahl Schüttungen - 15-80l/Intervall</t>
  </si>
  <si>
    <t>Anzahl Schüttungen - 120l/Intervall</t>
  </si>
  <si>
    <t>Anzahl Schüttungen - 240l/Intervall</t>
  </si>
  <si>
    <t>aus der eigenen Sammlung</t>
  </si>
  <si>
    <t>notwendiger durchschn. Preis Übernahmematerial</t>
  </si>
  <si>
    <t>Investitionskosten Aufbau(ten)</t>
  </si>
  <si>
    <t xml:space="preserve">Investitionskosten Sammelfahrzeug(e) </t>
  </si>
  <si>
    <t>Übernahme</t>
  </si>
  <si>
    <t>eigene Sammlung</t>
  </si>
  <si>
    <t>notwendiger durchschn. Preis je Schüttung</t>
  </si>
  <si>
    <t>Treibstoffe, Schmiermittel Sammelfahrzeug</t>
  </si>
  <si>
    <t>Reparatur/Instandhaltung Sammelfahrzeug</t>
  </si>
  <si>
    <t>Verwendungsgruppe III, n. 15 Berufsjahren</t>
  </si>
  <si>
    <t>(l=90m, b=40m)</t>
  </si>
  <si>
    <t>(l=90m, b=25m)</t>
  </si>
  <si>
    <t>m³</t>
  </si>
  <si>
    <t>m²</t>
  </si>
  <si>
    <t>Kapazität Sickerwassergrube</t>
  </si>
  <si>
    <t>nach ÖNORM S2205, Tabelle 4</t>
  </si>
  <si>
    <t>bis</t>
  </si>
  <si>
    <t>über</t>
  </si>
  <si>
    <t xml:space="preserve">Berechnungsgrundlage: </t>
  </si>
  <si>
    <t>mm/m² Niederschlag/Jahr</t>
  </si>
  <si>
    <t>Speichervolumen für Niederschläge:</t>
  </si>
  <si>
    <t>m³/m² abgedichteter Fläche</t>
  </si>
  <si>
    <t>Speichervolumen für Sickerwasser:</t>
  </si>
  <si>
    <t>m³/m² abgedichtete Fläche</t>
  </si>
  <si>
    <t xml:space="preserve">Befestigte Fläche (betoniert od. asphaltiert): </t>
  </si>
  <si>
    <t xml:space="preserve">Sickersaft: </t>
  </si>
  <si>
    <t>m³/a</t>
  </si>
  <si>
    <t>Niederschlag:</t>
  </si>
  <si>
    <t>20% Sicherheitszuschlag</t>
  </si>
  <si>
    <t>Raumbedarf</t>
  </si>
  <si>
    <t>nach ÖNORM S2205, Niederschlagsereignis</t>
  </si>
  <si>
    <t>2 tägiger, 5 jährlicher NS</t>
  </si>
  <si>
    <t>mm/m²</t>
  </si>
  <si>
    <t>Regendaten siehe:</t>
  </si>
  <si>
    <t>https://ehyd.gv.at</t>
  </si>
  <si>
    <t xml:space="preserve">                                Unter "Kennwerte und Bemessung" - Bemessungsniederschlag </t>
  </si>
  <si>
    <t xml:space="preserve">                                den nächsten Punkt zur Anlage auswählen und diese Daten verwenden</t>
  </si>
  <si>
    <t>Rotterfäche dicht</t>
  </si>
  <si>
    <t>sonstige Flächen dicht (Übernahme, usw.)</t>
  </si>
  <si>
    <t>Stammdaten</t>
  </si>
  <si>
    <t>Kompostanlage</t>
  </si>
  <si>
    <t>Nebenprodukte</t>
  </si>
  <si>
    <t>Komposterde</t>
  </si>
  <si>
    <t>Klärschlamm</t>
  </si>
  <si>
    <t>E-Mail Adresse:</t>
  </si>
  <si>
    <t>Kompostanlage:</t>
  </si>
  <si>
    <t>Postanschrift:</t>
  </si>
  <si>
    <t>vorhandene Bescheide (bitte mit X markieren):</t>
  </si>
  <si>
    <t>Konsensmenge laut Bescheid (in kg):</t>
  </si>
  <si>
    <t>Sonstige: … (bitte ausfüllen)</t>
  </si>
  <si>
    <t>Mobilfunknummer (SMS Ankündigung QS-Besuch):</t>
  </si>
  <si>
    <t>Adresse Kompostanlage (bzw. Koordinaten):</t>
  </si>
  <si>
    <t>Ansprechpartner vor 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</si>
</sst>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0.0%"/>
    <numFmt numFmtId="165" formatCode="#,##0&quot; m²&quot;"/>
    <numFmt numFmtId="166" formatCode="#,##0&quot; m³&quot;"/>
    <numFmt numFmtId="167" formatCode="#,##0&quot; €/t&quot;"/>
    <numFmt numFmtId="168" formatCode="#,##0&quot; €/m²&quot;"/>
    <numFmt numFmtId="169" formatCode="#,##0&quot; €/m³&quot;"/>
    <numFmt numFmtId="170" formatCode="0&quot; Jahre&quot;"/>
    <numFmt numFmtId="171" formatCode="&quot;i= &quot;0%"/>
    <numFmt numFmtId="172" formatCode="#,##0&quot; €/h&quot;"/>
    <numFmt numFmtId="173" formatCode="#,##0&quot; t&quot;"/>
    <numFmt numFmtId="174" formatCode="&quot;(&quot;0&quot; h/Woche)&quot;"/>
    <numFmt numFmtId="175" formatCode="#,##0&quot;,-&quot;"/>
    <numFmt numFmtId="176" formatCode="#,##0&quot; h&quot;"/>
    <numFmt numFmtId="177" formatCode="#,##0.00&quot; €/m²&quot;"/>
    <numFmt numFmtId="178" formatCode="#,##0&quot;/Jahr&quot;"/>
    <numFmt numFmtId="179" formatCode="#,##0&quot; km&quot;"/>
    <numFmt numFmtId="180" formatCode="#,##0&quot;,- brutto&quot;"/>
    <numFmt numFmtId="181" formatCode="&quot;≈ &quot;#,##0&quot;,- netto&quot;"/>
    <numFmt numFmtId="182" formatCode="&quot; ≈ € &quot;0.00&quot; /h&quot;"/>
    <numFmt numFmtId="183" formatCode="&quot;(&quot;0&quot; kg/Schüttung)&quot;"/>
    <numFmt numFmtId="184" formatCode="&quot;(&quot;0&quot; h/Intervall)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/>
    <xf numFmtId="0" fontId="6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2" xfId="0" applyFont="1" applyBorder="1"/>
    <xf numFmtId="0" fontId="4" fillId="0" borderId="1" xfId="0" applyFont="1" applyBorder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9" fontId="4" fillId="0" borderId="0" xfId="1" applyFont="1" applyFill="1" applyBorder="1"/>
    <xf numFmtId="164" fontId="4" fillId="0" borderId="1" xfId="1" applyNumberFormat="1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2" fillId="0" borderId="1" xfId="0" applyFont="1" applyBorder="1"/>
    <xf numFmtId="4" fontId="4" fillId="0" borderId="0" xfId="0" applyNumberFormat="1" applyFont="1" applyFill="1" applyBorder="1" applyAlignment="1">
      <alignment horizontal="left"/>
    </xf>
    <xf numFmtId="9" fontId="4" fillId="2" borderId="0" xfId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9" fontId="4" fillId="0" borderId="0" xfId="0" applyNumberFormat="1" applyFont="1" applyFill="1"/>
    <xf numFmtId="4" fontId="8" fillId="0" borderId="0" xfId="0" applyNumberFormat="1" applyFont="1" applyFill="1" applyBorder="1"/>
    <xf numFmtId="4" fontId="4" fillId="0" borderId="0" xfId="0" applyNumberFormat="1" applyFont="1" applyFill="1" applyBorder="1"/>
    <xf numFmtId="4" fontId="9" fillId="0" borderId="0" xfId="0" applyNumberFormat="1" applyFont="1" applyFill="1" applyBorder="1"/>
    <xf numFmtId="0" fontId="2" fillId="0" borderId="0" xfId="0" applyFont="1" applyFill="1" applyBorder="1"/>
    <xf numFmtId="4" fontId="4" fillId="0" borderId="0" xfId="0" applyNumberFormat="1" applyFont="1" applyFill="1" applyBorder="1" applyAlignment="1">
      <alignment horizontal="right"/>
    </xf>
    <xf numFmtId="4" fontId="8" fillId="0" borderId="2" xfId="0" applyNumberFormat="1" applyFont="1" applyFill="1" applyBorder="1"/>
    <xf numFmtId="0" fontId="4" fillId="0" borderId="3" xfId="0" applyFont="1" applyFill="1" applyBorder="1"/>
    <xf numFmtId="165" fontId="4" fillId="0" borderId="0" xfId="0" applyNumberFormat="1" applyFont="1" applyFill="1"/>
    <xf numFmtId="168" fontId="4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/>
    <xf numFmtId="166" fontId="4" fillId="2" borderId="0" xfId="0" applyNumberFormat="1" applyFont="1" applyFill="1"/>
    <xf numFmtId="169" fontId="4" fillId="2" borderId="0" xfId="0" applyNumberFormat="1" applyFont="1" applyFill="1" applyBorder="1" applyAlignment="1">
      <alignment horizontal="right"/>
    </xf>
    <xf numFmtId="168" fontId="4" fillId="0" borderId="0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4" fillId="0" borderId="1" xfId="0" applyFont="1" applyFill="1" applyBorder="1"/>
    <xf numFmtId="170" fontId="4" fillId="2" borderId="1" xfId="0" applyNumberFormat="1" applyFont="1" applyFill="1" applyBorder="1"/>
    <xf numFmtId="171" fontId="4" fillId="2" borderId="1" xfId="0" applyNumberFormat="1" applyFont="1" applyFill="1" applyBorder="1"/>
    <xf numFmtId="172" fontId="4" fillId="2" borderId="0" xfId="0" applyNumberFormat="1" applyFont="1" applyFill="1" applyBorder="1" applyAlignment="1">
      <alignment horizontal="right"/>
    </xf>
    <xf numFmtId="172" fontId="4" fillId="2" borderId="2" xfId="0" applyNumberFormat="1" applyFont="1" applyFill="1" applyBorder="1" applyAlignment="1">
      <alignment horizontal="right"/>
    </xf>
    <xf numFmtId="0" fontId="4" fillId="0" borderId="4" xfId="0" applyFont="1" applyBorder="1"/>
    <xf numFmtId="172" fontId="4" fillId="2" borderId="1" xfId="0" applyNumberFormat="1" applyFont="1" applyFill="1" applyBorder="1" applyAlignment="1">
      <alignment horizontal="right"/>
    </xf>
    <xf numFmtId="0" fontId="4" fillId="0" borderId="3" xfId="0" applyFont="1" applyBorder="1"/>
    <xf numFmtId="0" fontId="6" fillId="3" borderId="0" xfId="0" applyFont="1" applyFill="1"/>
    <xf numFmtId="0" fontId="5" fillId="3" borderId="0" xfId="0" applyFont="1" applyFill="1"/>
    <xf numFmtId="173" fontId="4" fillId="0" borderId="1" xfId="0" applyNumberFormat="1" applyFont="1" applyFill="1" applyBorder="1"/>
    <xf numFmtId="173" fontId="4" fillId="2" borderId="0" xfId="0" applyNumberFormat="1" applyFont="1" applyFill="1"/>
    <xf numFmtId="173" fontId="4" fillId="2" borderId="0" xfId="0" applyNumberFormat="1" applyFont="1" applyFill="1" applyBorder="1"/>
    <xf numFmtId="173" fontId="4" fillId="2" borderId="2" xfId="0" applyNumberFormat="1" applyFont="1" applyFill="1" applyBorder="1"/>
    <xf numFmtId="0" fontId="0" fillId="2" borderId="0" xfId="0" applyFill="1"/>
    <xf numFmtId="167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169" fontId="4" fillId="0" borderId="0" xfId="0" applyNumberFormat="1" applyFont="1" applyFill="1" applyBorder="1" applyAlignment="1">
      <alignment horizontal="right"/>
    </xf>
    <xf numFmtId="171" fontId="4" fillId="0" borderId="1" xfId="0" applyNumberFormat="1" applyFont="1" applyFill="1" applyBorder="1"/>
    <xf numFmtId="0" fontId="4" fillId="2" borderId="0" xfId="0" applyFont="1" applyFill="1"/>
    <xf numFmtId="0" fontId="2" fillId="2" borderId="0" xfId="0" applyFont="1" applyFill="1"/>
    <xf numFmtId="166" fontId="4" fillId="0" borderId="0" xfId="0" applyNumberFormat="1" applyFont="1" applyFill="1"/>
    <xf numFmtId="0" fontId="2" fillId="0" borderId="2" xfId="0" applyFont="1" applyBorder="1"/>
    <xf numFmtId="174" fontId="12" fillId="0" borderId="0" xfId="0" applyNumberFormat="1" applyFont="1" applyAlignment="1">
      <alignment horizontal="left"/>
    </xf>
    <xf numFmtId="0" fontId="4" fillId="2" borderId="0" xfId="0" applyFont="1" applyFill="1" applyBorder="1"/>
    <xf numFmtId="166" fontId="4" fillId="0" borderId="0" xfId="0" applyNumberFormat="1" applyFont="1" applyFill="1" applyBorder="1"/>
    <xf numFmtId="175" fontId="4" fillId="0" borderId="2" xfId="0" applyNumberFormat="1" applyFont="1" applyFill="1" applyBorder="1"/>
    <xf numFmtId="175" fontId="4" fillId="2" borderId="0" xfId="0" applyNumberFormat="1" applyFont="1" applyFill="1" applyBorder="1"/>
    <xf numFmtId="175" fontId="4" fillId="0" borderId="3" xfId="0" applyNumberFormat="1" applyFont="1" applyFill="1" applyBorder="1"/>
    <xf numFmtId="175" fontId="4" fillId="0" borderId="1" xfId="0" applyNumberFormat="1" applyFont="1" applyFill="1" applyBorder="1"/>
    <xf numFmtId="175" fontId="4" fillId="0" borderId="1" xfId="0" applyNumberFormat="1" applyFont="1" applyBorder="1"/>
    <xf numFmtId="175" fontId="4" fillId="0" borderId="0" xfId="0" applyNumberFormat="1" applyFont="1"/>
    <xf numFmtId="175" fontId="4" fillId="2" borderId="0" xfId="0" applyNumberFormat="1" applyFont="1" applyFill="1"/>
    <xf numFmtId="175" fontId="4" fillId="2" borderId="2" xfId="0" applyNumberFormat="1" applyFont="1" applyFill="1" applyBorder="1"/>
    <xf numFmtId="175" fontId="4" fillId="0" borderId="0" xfId="0" applyNumberFormat="1" applyFont="1" applyFill="1" applyBorder="1"/>
    <xf numFmtId="176" fontId="4" fillId="2" borderId="0" xfId="0" applyNumberFormat="1" applyFont="1" applyFill="1" applyBorder="1"/>
    <xf numFmtId="176" fontId="4" fillId="2" borderId="2" xfId="0" applyNumberFormat="1" applyFont="1" applyFill="1" applyBorder="1"/>
    <xf numFmtId="176" fontId="4" fillId="0" borderId="4" xfId="0" applyNumberFormat="1" applyFont="1" applyFill="1" applyBorder="1"/>
    <xf numFmtId="176" fontId="4" fillId="0" borderId="0" xfId="0" applyNumberFormat="1" applyFont="1" applyFill="1" applyBorder="1"/>
    <xf numFmtId="175" fontId="5" fillId="3" borderId="0" xfId="0" applyNumberFormat="1" applyFont="1" applyFill="1"/>
    <xf numFmtId="2" fontId="5" fillId="3" borderId="0" xfId="0" applyNumberFormat="1" applyFont="1" applyFill="1"/>
    <xf numFmtId="0" fontId="4" fillId="4" borderId="1" xfId="0" applyFont="1" applyFill="1" applyBorder="1"/>
    <xf numFmtId="0" fontId="4" fillId="0" borderId="5" xfId="0" applyFont="1" applyBorder="1"/>
    <xf numFmtId="0" fontId="2" fillId="0" borderId="5" xfId="0" applyFont="1" applyBorder="1"/>
    <xf numFmtId="175" fontId="4" fillId="0" borderId="5" xfId="0" applyNumberFormat="1" applyFont="1" applyFill="1" applyBorder="1"/>
    <xf numFmtId="177" fontId="4" fillId="2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0" fillId="0" borderId="0" xfId="0" applyBorder="1"/>
    <xf numFmtId="4" fontId="4" fillId="2" borderId="0" xfId="0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horizontal="left"/>
    </xf>
    <xf numFmtId="179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right"/>
    </xf>
    <xf numFmtId="178" fontId="4" fillId="2" borderId="8" xfId="0" applyNumberFormat="1" applyFont="1" applyFill="1" applyBorder="1" applyAlignment="1">
      <alignment horizontal="right"/>
    </xf>
    <xf numFmtId="179" fontId="4" fillId="2" borderId="8" xfId="0" applyNumberFormat="1" applyFont="1" applyFill="1" applyBorder="1" applyAlignment="1">
      <alignment horizontal="right"/>
    </xf>
    <xf numFmtId="0" fontId="0" fillId="0" borderId="0" xfId="0" applyFill="1"/>
    <xf numFmtId="175" fontId="4" fillId="2" borderId="8" xfId="0" applyNumberFormat="1" applyFont="1" applyFill="1" applyBorder="1" applyAlignment="1">
      <alignment horizontal="right"/>
    </xf>
    <xf numFmtId="175" fontId="4" fillId="2" borderId="9" xfId="0" applyNumberFormat="1" applyFont="1" applyFill="1" applyBorder="1" applyAlignment="1">
      <alignment horizontal="right"/>
    </xf>
    <xf numFmtId="0" fontId="2" fillId="0" borderId="0" xfId="0" applyFont="1" applyFill="1"/>
    <xf numFmtId="172" fontId="4" fillId="0" borderId="0" xfId="0" applyNumberFormat="1" applyFont="1" applyFill="1" applyBorder="1" applyAlignment="1">
      <alignment horizontal="right"/>
    </xf>
    <xf numFmtId="0" fontId="4" fillId="0" borderId="5" xfId="0" applyFont="1" applyFill="1" applyBorder="1"/>
    <xf numFmtId="172" fontId="4" fillId="0" borderId="5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11" fillId="0" borderId="0" xfId="0" applyFont="1"/>
    <xf numFmtId="0" fontId="9" fillId="0" borderId="1" xfId="0" applyFont="1" applyFill="1" applyBorder="1"/>
    <xf numFmtId="0" fontId="11" fillId="0" borderId="1" xfId="0" applyFont="1" applyBorder="1"/>
    <xf numFmtId="180" fontId="11" fillId="0" borderId="0" xfId="0" applyNumberFormat="1" applyFont="1"/>
    <xf numFmtId="0" fontId="11" fillId="0" borderId="1" xfId="0" quotePrefix="1" applyFont="1" applyBorder="1" applyAlignment="1">
      <alignment horizontal="right"/>
    </xf>
    <xf numFmtId="181" fontId="11" fillId="0" borderId="1" xfId="0" applyNumberFormat="1" applyFont="1" applyBorder="1"/>
    <xf numFmtId="182" fontId="11" fillId="0" borderId="1" xfId="0" applyNumberFormat="1" applyFont="1" applyBorder="1" applyAlignment="1">
      <alignment horizontal="left"/>
    </xf>
    <xf numFmtId="0" fontId="2" fillId="2" borderId="2" xfId="0" applyFont="1" applyFill="1" applyBorder="1"/>
    <xf numFmtId="170" fontId="4" fillId="2" borderId="0" xfId="0" applyNumberFormat="1" applyFont="1" applyFill="1" applyBorder="1"/>
    <xf numFmtId="171" fontId="4" fillId="2" borderId="0" xfId="0" applyNumberFormat="1" applyFont="1" applyFill="1" applyBorder="1"/>
    <xf numFmtId="175" fontId="4" fillId="0" borderId="0" xfId="0" applyNumberFormat="1" applyFont="1" applyFill="1"/>
    <xf numFmtId="183" fontId="12" fillId="0" borderId="0" xfId="0" applyNumberFormat="1" applyFont="1" applyAlignment="1">
      <alignment horizontal="left"/>
    </xf>
    <xf numFmtId="182" fontId="11" fillId="0" borderId="10" xfId="0" applyNumberFormat="1" applyFont="1" applyBorder="1" applyAlignment="1">
      <alignment horizontal="left"/>
    </xf>
    <xf numFmtId="184" fontId="12" fillId="0" borderId="0" xfId="0" applyNumberFormat="1" applyFont="1" applyAlignment="1">
      <alignment horizontal="left"/>
    </xf>
    <xf numFmtId="0" fontId="10" fillId="4" borderId="1" xfId="0" applyFont="1" applyFill="1" applyBorder="1"/>
    <xf numFmtId="2" fontId="10" fillId="4" borderId="1" xfId="0" applyNumberFormat="1" applyFont="1" applyFill="1" applyBorder="1"/>
    <xf numFmtId="3" fontId="4" fillId="2" borderId="8" xfId="0" applyNumberFormat="1" applyFont="1" applyFill="1" applyBorder="1" applyAlignment="1">
      <alignment horizontal="right"/>
    </xf>
    <xf numFmtId="17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Fill="1" applyBorder="1"/>
    <xf numFmtId="173" fontId="0" fillId="0" borderId="0" xfId="0" applyNumberFormat="1" applyBorder="1"/>
    <xf numFmtId="0" fontId="0" fillId="0" borderId="2" xfId="0" applyBorder="1"/>
    <xf numFmtId="0" fontId="0" fillId="0" borderId="1" xfId="0" applyBorder="1"/>
    <xf numFmtId="176" fontId="0" fillId="0" borderId="0" xfId="0" applyNumberFormat="1"/>
    <xf numFmtId="176" fontId="4" fillId="0" borderId="2" xfId="0" applyNumberFormat="1" applyFont="1" applyFill="1" applyBorder="1"/>
    <xf numFmtId="175" fontId="14" fillId="0" borderId="1" xfId="0" applyNumberFormat="1" applyFont="1" applyBorder="1"/>
    <xf numFmtId="0" fontId="0" fillId="0" borderId="5" xfId="0" applyBorder="1"/>
    <xf numFmtId="0" fontId="15" fillId="0" borderId="11" xfId="0" applyFont="1" applyBorder="1"/>
    <xf numFmtId="0" fontId="14" fillId="0" borderId="13" xfId="0" applyFont="1" applyBorder="1"/>
    <xf numFmtId="0" fontId="14" fillId="0" borderId="0" xfId="0" applyFont="1" applyBorder="1"/>
    <xf numFmtId="0" fontId="14" fillId="0" borderId="14" xfId="0" applyFont="1" applyBorder="1"/>
    <xf numFmtId="0" fontId="15" fillId="0" borderId="15" xfId="0" applyFont="1" applyBorder="1"/>
    <xf numFmtId="0" fontId="16" fillId="0" borderId="11" xfId="0" applyFont="1" applyBorder="1"/>
    <xf numFmtId="0" fontId="14" fillId="0" borderId="4" xfId="0" applyFont="1" applyBorder="1"/>
    <xf numFmtId="0" fontId="14" fillId="0" borderId="12" xfId="0" applyFont="1" applyBorder="1"/>
    <xf numFmtId="0" fontId="14" fillId="0" borderId="1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5" fillId="0" borderId="15" xfId="0" applyFont="1" applyBorder="1" applyAlignment="1">
      <alignment vertical="center"/>
    </xf>
    <xf numFmtId="2" fontId="15" fillId="0" borderId="2" xfId="0" applyNumberFormat="1" applyFont="1" applyBorder="1"/>
    <xf numFmtId="0" fontId="15" fillId="0" borderId="13" xfId="0" applyFont="1" applyBorder="1" applyAlignment="1">
      <alignment vertical="center"/>
    </xf>
    <xf numFmtId="0" fontId="18" fillId="0" borderId="0" xfId="2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179" fontId="4" fillId="2" borderId="8" xfId="0" applyNumberFormat="1" applyFont="1" applyFill="1" applyBorder="1" applyAlignment="1">
      <alignment horizontal="right"/>
    </xf>
    <xf numFmtId="175" fontId="4" fillId="2" borderId="9" xfId="0" applyNumberFormat="1" applyFont="1" applyFill="1" applyBorder="1" applyAlignment="1">
      <alignment horizontal="right"/>
    </xf>
    <xf numFmtId="178" fontId="4" fillId="2" borderId="8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5" borderId="10" xfId="0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5" fontId="4" fillId="2" borderId="8" xfId="0" applyNumberFormat="1" applyFont="1" applyFill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14" xfId="0" applyFont="1" applyBorder="1" applyAlignment="1"/>
    <xf numFmtId="0" fontId="15" fillId="0" borderId="2" xfId="0" applyFont="1" applyBorder="1" applyAlignment="1">
      <alignment vertical="center"/>
    </xf>
    <xf numFmtId="0" fontId="15" fillId="0" borderId="16" xfId="0" applyFont="1" applyBorder="1" applyAlignment="1"/>
    <xf numFmtId="3" fontId="4" fillId="2" borderId="0" xfId="0" applyNumberFormat="1" applyFont="1" applyFill="1" applyBorder="1" applyAlignment="1">
      <alignment horizontal="right"/>
    </xf>
    <xf numFmtId="0" fontId="15" fillId="0" borderId="0" xfId="0" applyFont="1" applyBorder="1" applyAlignment="1">
      <alignment vertical="center"/>
    </xf>
    <xf numFmtId="3" fontId="4" fillId="2" borderId="0" xfId="0" applyNumberFormat="1" applyFont="1" applyFill="1" applyBorder="1" applyAlignment="1"/>
    <xf numFmtId="0" fontId="14" fillId="0" borderId="0" xfId="0" applyFont="1" applyFill="1" applyBorder="1" applyAlignment="1">
      <alignment vertical="center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180474</xdr:colOff>
      <xdr:row>4</xdr:row>
      <xdr:rowOff>33957</xdr:rowOff>
    </xdr:from>
    <xdr:to>
      <xdr:col>6</xdr:col>
      <xdr:colOff>347455</xdr:colOff>
      <xdr:row>5</xdr:row>
      <xdr:rowOff>1710</xdr:rowOff>
    </xdr:to>
    <xdr:pic>
      <xdr:nvPicPr>
        <xdr:cNvPr id="3" name="Grafik 2" descr="Bildschirmausschnit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5352"/>
          <a:ext cx="166981" cy="16159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hyd.gv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FEDD-B4B4-4454-9E21-6D47F42278BD}">
  <dimension ref="A1:G21"/>
  <sheetViews>
    <sheetView tabSelected="1" zoomScale="190" zoomScaleNormal="190" workbookViewId="0">
      <selection activeCell="A16" sqref="A16"/>
    </sheetView>
  </sheetViews>
  <sheetFormatPr baseColWidth="10" defaultRowHeight="15" x14ac:dyDescent="0.25"/>
  <cols>
    <col min="1" max="1" width="42" bestFit="1" customWidth="1"/>
    <col min="2" max="2" width="13" bestFit="1" customWidth="1"/>
    <col min="3" max="3" width="15.140625" bestFit="1" customWidth="1"/>
    <col min="4" max="4" width="13" bestFit="1" customWidth="1"/>
    <col min="5" max="5" width="12.28515625" bestFit="1" customWidth="1"/>
    <col min="6" max="6" width="23" bestFit="1" customWidth="1"/>
  </cols>
  <sheetData>
    <row r="1" spans="1:7" x14ac:dyDescent="0.25">
      <c r="A1" s="169" t="s">
        <v>153</v>
      </c>
      <c r="B1" s="137"/>
      <c r="C1" s="137"/>
      <c r="D1" s="137"/>
      <c r="E1" s="137"/>
      <c r="F1" s="137"/>
      <c r="G1" s="137"/>
    </row>
    <row r="2" spans="1:7" ht="15.75" thickBot="1" x14ac:dyDescent="0.3">
      <c r="A2" s="169"/>
      <c r="B2" s="137"/>
      <c r="C2" s="137"/>
      <c r="D2" s="137"/>
      <c r="E2" s="137"/>
      <c r="F2" s="137"/>
      <c r="G2" s="137"/>
    </row>
    <row r="3" spans="1:7" ht="15.75" thickBot="1" x14ac:dyDescent="0.3">
      <c r="A3" s="137" t="s">
        <v>159</v>
      </c>
      <c r="B3" s="151"/>
      <c r="C3" s="151"/>
      <c r="D3" s="137"/>
      <c r="E3" s="137"/>
      <c r="F3" s="137"/>
      <c r="G3" s="137"/>
    </row>
    <row r="4" spans="1:7" ht="15.75" thickBot="1" x14ac:dyDescent="0.3">
      <c r="A4" s="137" t="s">
        <v>160</v>
      </c>
      <c r="B4" s="151"/>
      <c r="C4" s="151"/>
      <c r="D4" s="137"/>
      <c r="E4" s="137"/>
      <c r="F4" s="137"/>
      <c r="G4" s="137"/>
    </row>
    <row r="5" spans="1:7" ht="15.75" thickBot="1" x14ac:dyDescent="0.3">
      <c r="A5" s="137" t="s">
        <v>165</v>
      </c>
      <c r="B5" s="151"/>
      <c r="C5" s="151"/>
      <c r="D5" s="137"/>
      <c r="E5" s="137"/>
      <c r="F5" s="137"/>
      <c r="G5" s="137"/>
    </row>
    <row r="6" spans="1:7" ht="15.75" thickBot="1" x14ac:dyDescent="0.3">
      <c r="A6" s="137" t="s">
        <v>166</v>
      </c>
      <c r="B6" s="151"/>
      <c r="C6" s="151"/>
      <c r="D6" s="137"/>
      <c r="E6" s="137"/>
      <c r="F6" s="137"/>
      <c r="G6" s="137"/>
    </row>
    <row r="7" spans="1:7" ht="15.75" thickBot="1" x14ac:dyDescent="0.3">
      <c r="A7" s="137" t="s">
        <v>164</v>
      </c>
      <c r="B7" s="151"/>
      <c r="C7" s="151"/>
      <c r="D7" s="137"/>
      <c r="E7" s="137"/>
      <c r="F7" s="137"/>
      <c r="G7" s="137"/>
    </row>
    <row r="8" spans="1:7" ht="15.75" thickBot="1" x14ac:dyDescent="0.3">
      <c r="A8" s="137" t="s">
        <v>158</v>
      </c>
      <c r="B8" s="151"/>
      <c r="C8" s="151"/>
      <c r="D8" s="137"/>
      <c r="E8" s="137"/>
      <c r="F8" s="137"/>
      <c r="G8" s="137"/>
    </row>
    <row r="9" spans="1:7" x14ac:dyDescent="0.25">
      <c r="A9" s="137"/>
      <c r="B9" s="168"/>
      <c r="C9" s="168"/>
      <c r="D9" s="137"/>
      <c r="E9" s="137"/>
      <c r="F9" s="137"/>
      <c r="G9" s="137"/>
    </row>
    <row r="10" spans="1:7" x14ac:dyDescent="0.25">
      <c r="A10" s="137"/>
      <c r="B10" s="137"/>
      <c r="C10" s="137"/>
      <c r="D10" s="137"/>
      <c r="E10" s="137"/>
      <c r="F10" s="137"/>
      <c r="G10" s="137"/>
    </row>
    <row r="11" spans="1:7" x14ac:dyDescent="0.25">
      <c r="A11" s="137"/>
      <c r="B11" s="171" t="s">
        <v>154</v>
      </c>
      <c r="C11" s="171" t="s">
        <v>155</v>
      </c>
      <c r="D11" s="171" t="s">
        <v>156</v>
      </c>
      <c r="E11" s="171" t="s">
        <v>157</v>
      </c>
      <c r="F11" s="171" t="s">
        <v>163</v>
      </c>
      <c r="G11" s="137"/>
    </row>
    <row r="12" spans="1:7" x14ac:dyDescent="0.25">
      <c r="A12" s="137" t="s">
        <v>161</v>
      </c>
      <c r="B12" s="170"/>
      <c r="C12" s="170"/>
      <c r="D12" s="170"/>
      <c r="E12" s="170"/>
      <c r="F12" s="170"/>
      <c r="G12" s="137"/>
    </row>
    <row r="13" spans="1:7" x14ac:dyDescent="0.25">
      <c r="A13" s="137" t="s">
        <v>162</v>
      </c>
      <c r="B13" s="170"/>
      <c r="C13" s="170"/>
      <c r="D13" s="170"/>
      <c r="E13" s="170"/>
      <c r="F13" s="170"/>
      <c r="G13" s="137"/>
    </row>
    <row r="14" spans="1:7" x14ac:dyDescent="0.25">
      <c r="A14" s="137"/>
      <c r="B14" s="137"/>
      <c r="C14" s="137"/>
      <c r="D14" s="137"/>
      <c r="E14" s="137"/>
      <c r="F14" s="137"/>
      <c r="G14" s="137"/>
    </row>
    <row r="17" spans="1:1" x14ac:dyDescent="0.25">
      <c r="A17" s="139"/>
    </row>
    <row r="18" spans="1:1" x14ac:dyDescent="0.25">
      <c r="A18" s="139"/>
    </row>
    <row r="19" spans="1:1" x14ac:dyDescent="0.25">
      <c r="A19" s="139"/>
    </row>
    <row r="20" spans="1:1" x14ac:dyDescent="0.25">
      <c r="A20" s="139"/>
    </row>
    <row r="21" spans="1:1" x14ac:dyDescent="0.25">
      <c r="A21" s="139"/>
    </row>
  </sheetData>
  <mergeCells count="6">
    <mergeCell ref="B3:C3"/>
    <mergeCell ref="B5:C5"/>
    <mergeCell ref="B4:C4"/>
    <mergeCell ref="B6:C6"/>
    <mergeCell ref="B7:C7"/>
    <mergeCell ref="B8:C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1"/>
  <sheetViews>
    <sheetView showGridLines="0" zoomScale="190" zoomScaleNormal="190" workbookViewId="0">
      <selection activeCell="E11" sqref="E11:F11"/>
    </sheetView>
  </sheetViews>
  <sheetFormatPr baseColWidth="10" defaultRowHeight="15" x14ac:dyDescent="0.25"/>
  <cols>
    <col min="1" max="1" width="1.42578125" style="1" customWidth="1"/>
    <col min="2" max="2" width="5.42578125" style="1" customWidth="1"/>
    <col min="3" max="3" width="30.7109375" style="1" customWidth="1"/>
    <col min="4" max="5" width="10" style="1" customWidth="1"/>
    <col min="6" max="6" width="0.85546875" style="1" customWidth="1"/>
    <col min="7" max="7" width="11.140625" style="1" customWidth="1"/>
    <col min="8" max="8" width="10.42578125" bestFit="1" customWidth="1"/>
    <col min="9" max="9" width="11.42578125" customWidth="1"/>
    <col min="10" max="10" width="1" style="85" customWidth="1"/>
    <col min="11" max="11" width="11.42578125" customWidth="1"/>
    <col min="12" max="12" width="1.42578125" customWidth="1"/>
  </cols>
  <sheetData>
    <row r="1" spans="1:14" ht="5.25" customHeight="1" thickBot="1" x14ac:dyDescent="0.3"/>
    <row r="2" spans="1:14" ht="15.75" thickBot="1" x14ac:dyDescent="0.3">
      <c r="B2" s="160" t="s">
        <v>92</v>
      </c>
      <c r="C2" s="161"/>
      <c r="D2" s="161"/>
      <c r="E2" s="161"/>
      <c r="F2" s="161"/>
      <c r="G2" s="161"/>
      <c r="H2" s="161"/>
      <c r="I2" s="161"/>
      <c r="J2" s="161"/>
      <c r="K2" s="162"/>
    </row>
    <row r="3" spans="1:14" ht="5.25" customHeight="1" thickBot="1" x14ac:dyDescent="0.3">
      <c r="A3" s="4"/>
      <c r="B3" s="5"/>
      <c r="C3" s="5"/>
      <c r="D3" s="5"/>
      <c r="E3" s="5"/>
      <c r="F3" s="5"/>
      <c r="G3" s="6"/>
      <c r="H3" s="123"/>
      <c r="I3" s="123"/>
      <c r="J3" s="123"/>
      <c r="K3" s="123"/>
    </row>
    <row r="4" spans="1:14" s="85" customFormat="1" ht="15.75" customHeight="1" x14ac:dyDescent="0.25">
      <c r="A4" s="4"/>
      <c r="C4" s="86" t="s">
        <v>98</v>
      </c>
      <c r="D4" s="28"/>
      <c r="E4" s="28"/>
      <c r="F4" s="28"/>
      <c r="G4" s="84"/>
    </row>
    <row r="5" spans="1:14" ht="15.75" customHeight="1" x14ac:dyDescent="0.25">
      <c r="A5" s="4"/>
      <c r="B5" s="28"/>
      <c r="C5" s="19" t="s">
        <v>99</v>
      </c>
      <c r="D5" s="28"/>
      <c r="E5" s="28"/>
      <c r="F5" s="28"/>
      <c r="G5" s="84"/>
    </row>
    <row r="6" spans="1:14" ht="5.25" customHeight="1" thickBot="1" x14ac:dyDescent="0.3">
      <c r="A6" s="4"/>
      <c r="B6" s="5"/>
      <c r="C6" s="5"/>
      <c r="D6" s="5"/>
      <c r="E6" s="5"/>
      <c r="F6" s="5"/>
      <c r="G6" s="6"/>
      <c r="H6" s="123"/>
      <c r="I6" s="123"/>
      <c r="J6" s="123"/>
      <c r="K6" s="123"/>
    </row>
    <row r="7" spans="1:14" ht="15.75" customHeight="1" x14ac:dyDescent="0.25">
      <c r="A7" s="4"/>
      <c r="B7" s="7" t="s">
        <v>100</v>
      </c>
      <c r="C7" s="19"/>
      <c r="D7" s="28"/>
      <c r="E7" s="28"/>
      <c r="F7" s="28"/>
      <c r="G7" s="84"/>
    </row>
    <row r="8" spans="1:14" ht="15.75" customHeight="1" thickBot="1" x14ac:dyDescent="0.3">
      <c r="A8" s="4"/>
      <c r="B8" s="87"/>
      <c r="C8" s="19"/>
      <c r="D8" s="89" t="s">
        <v>103</v>
      </c>
      <c r="E8" s="147" t="s">
        <v>104</v>
      </c>
      <c r="F8" s="147"/>
      <c r="G8" s="89" t="s">
        <v>105</v>
      </c>
    </row>
    <row r="9" spans="1:14" ht="15.75" customHeight="1" thickBot="1" x14ac:dyDescent="0.3">
      <c r="A9" s="4"/>
      <c r="B9" s="28"/>
      <c r="C9" s="19" t="s">
        <v>111</v>
      </c>
      <c r="D9" s="90"/>
      <c r="E9" s="151"/>
      <c r="F9" s="151"/>
      <c r="G9" s="90"/>
    </row>
    <row r="10" spans="1:14" ht="15.75" customHeight="1" thickBot="1" x14ac:dyDescent="0.3">
      <c r="A10" s="4"/>
      <c r="B10" s="28"/>
      <c r="C10" s="19" t="s">
        <v>112</v>
      </c>
      <c r="D10" s="90">
        <v>600</v>
      </c>
      <c r="E10" s="151"/>
      <c r="F10" s="151"/>
      <c r="G10" s="90"/>
    </row>
    <row r="11" spans="1:14" ht="15.75" customHeight="1" thickBot="1" x14ac:dyDescent="0.3">
      <c r="A11" s="4"/>
      <c r="B11" s="28"/>
      <c r="C11" s="19" t="s">
        <v>113</v>
      </c>
      <c r="D11" s="90"/>
      <c r="E11" s="151"/>
      <c r="F11" s="151"/>
      <c r="G11" s="90"/>
    </row>
    <row r="12" spans="1:14" ht="15.75" customHeight="1" thickBot="1" x14ac:dyDescent="0.3">
      <c r="A12" s="4"/>
      <c r="B12" s="28"/>
      <c r="C12" s="19" t="s">
        <v>101</v>
      </c>
      <c r="D12" s="91">
        <v>40</v>
      </c>
      <c r="E12" s="150"/>
      <c r="F12" s="150"/>
      <c r="G12" s="91"/>
    </row>
    <row r="13" spans="1:14" ht="15.75" customHeight="1" thickBot="1" x14ac:dyDescent="0.3">
      <c r="A13" s="4"/>
      <c r="B13" s="28"/>
      <c r="C13" s="19" t="s">
        <v>102</v>
      </c>
      <c r="D13" s="92">
        <v>450</v>
      </c>
      <c r="E13" s="148"/>
      <c r="F13" s="148"/>
      <c r="G13" s="92"/>
    </row>
    <row r="14" spans="1:14" s="93" customFormat="1" ht="4.5" customHeight="1" thickBot="1" x14ac:dyDescent="0.3">
      <c r="A14" s="4"/>
      <c r="B14" s="28"/>
      <c r="C14" s="19"/>
      <c r="D14" s="88"/>
      <c r="E14" s="88"/>
      <c r="F14" s="88"/>
      <c r="G14" s="88"/>
      <c r="J14" s="120"/>
      <c r="K14"/>
      <c r="L14"/>
      <c r="M14"/>
      <c r="N14"/>
    </row>
    <row r="15" spans="1:14" ht="15.75" customHeight="1" thickBot="1" x14ac:dyDescent="0.3">
      <c r="A15" s="4"/>
      <c r="B15" s="28"/>
      <c r="C15" s="19" t="s">
        <v>106</v>
      </c>
      <c r="D15" s="95">
        <v>15000</v>
      </c>
      <c r="E15" s="149"/>
      <c r="F15" s="149"/>
      <c r="G15" s="95"/>
    </row>
    <row r="16" spans="1:14" ht="15.75" customHeight="1" thickBot="1" x14ac:dyDescent="0.3">
      <c r="A16" s="4"/>
      <c r="B16" s="28"/>
      <c r="C16" s="19" t="s">
        <v>117</v>
      </c>
      <c r="D16" s="94">
        <v>45000</v>
      </c>
      <c r="E16" s="163"/>
      <c r="F16" s="163"/>
      <c r="G16" s="94"/>
    </row>
    <row r="17" spans="1:11" ht="15.75" customHeight="1" thickBot="1" x14ac:dyDescent="0.3">
      <c r="A17" s="4"/>
      <c r="B17" s="28"/>
      <c r="C17" s="19" t="s">
        <v>116</v>
      </c>
      <c r="D17" s="94">
        <v>45000</v>
      </c>
      <c r="E17" s="163"/>
      <c r="F17" s="163"/>
      <c r="G17" s="94"/>
      <c r="I17" s="157" t="s">
        <v>118</v>
      </c>
      <c r="J17" s="119"/>
      <c r="K17" s="154" t="s">
        <v>119</v>
      </c>
    </row>
    <row r="18" spans="1:11" ht="5.25" customHeight="1" thickBot="1" x14ac:dyDescent="0.3">
      <c r="A18" s="4"/>
      <c r="B18" s="5"/>
      <c r="C18" s="5"/>
      <c r="D18" s="5"/>
      <c r="E18" s="5"/>
      <c r="F18" s="5"/>
      <c r="G18" s="6"/>
      <c r="I18" s="158"/>
      <c r="J18" s="119"/>
      <c r="K18" s="155"/>
    </row>
    <row r="19" spans="1:11" ht="16.5" thickBot="1" x14ac:dyDescent="0.3">
      <c r="A19" s="2"/>
      <c r="B19" s="7" t="s">
        <v>0</v>
      </c>
      <c r="C19" s="8"/>
      <c r="D19" s="8"/>
      <c r="E19" s="8"/>
      <c r="F19" s="8"/>
      <c r="G19" s="8"/>
      <c r="I19" s="159"/>
      <c r="J19" s="119"/>
      <c r="K19" s="156"/>
    </row>
    <row r="20" spans="1:11" x14ac:dyDescent="0.25">
      <c r="A20" s="4"/>
      <c r="B20" s="8"/>
      <c r="C20" s="146" t="s">
        <v>114</v>
      </c>
      <c r="D20" s="146"/>
      <c r="E20" s="146"/>
      <c r="F20" s="8"/>
      <c r="G20" s="49">
        <v>800</v>
      </c>
      <c r="H20" s="112">
        <f>+IFERROR(G20*1000/SUM(D12:G12)/SUM(D9:G11),"--")</f>
        <v>33.333333333333336</v>
      </c>
      <c r="I20" s="118">
        <f>+SUM(G21:G27)</f>
        <v>3200</v>
      </c>
      <c r="J20" s="121"/>
      <c r="K20" s="118">
        <f>+G20</f>
        <v>800</v>
      </c>
    </row>
    <row r="21" spans="1:11" x14ac:dyDescent="0.25">
      <c r="A21" s="4"/>
      <c r="B21" s="8"/>
      <c r="C21" s="145" t="s">
        <v>52</v>
      </c>
      <c r="D21" s="145"/>
      <c r="E21" s="145"/>
      <c r="F21" s="8"/>
      <c r="G21" s="49">
        <v>2000</v>
      </c>
    </row>
    <row r="22" spans="1:11" x14ac:dyDescent="0.25">
      <c r="A22" s="2"/>
      <c r="B22" s="8"/>
      <c r="C22" s="145" t="s">
        <v>79</v>
      </c>
      <c r="D22" s="145"/>
      <c r="E22" s="145"/>
      <c r="F22" s="8"/>
      <c r="G22" s="49">
        <v>650</v>
      </c>
    </row>
    <row r="23" spans="1:11" x14ac:dyDescent="0.25">
      <c r="A23" s="2"/>
      <c r="B23" s="8"/>
      <c r="C23" s="153"/>
      <c r="D23" s="153"/>
      <c r="E23" s="153"/>
      <c r="F23" s="8"/>
      <c r="G23" s="49"/>
    </row>
    <row r="24" spans="1:11" x14ac:dyDescent="0.25">
      <c r="A24" s="2"/>
      <c r="B24" s="8"/>
      <c r="C24" s="153"/>
      <c r="D24" s="153"/>
      <c r="E24" s="153"/>
      <c r="F24" s="8"/>
      <c r="G24" s="49"/>
    </row>
    <row r="25" spans="1:11" x14ac:dyDescent="0.25">
      <c r="A25" s="2"/>
      <c r="B25" s="8"/>
      <c r="C25" s="153"/>
      <c r="D25" s="153"/>
      <c r="E25" s="153"/>
      <c r="F25" s="8"/>
      <c r="G25" s="49"/>
    </row>
    <row r="26" spans="1:11" x14ac:dyDescent="0.25">
      <c r="A26" s="2"/>
      <c r="B26" s="8"/>
      <c r="C26" s="153" t="s">
        <v>58</v>
      </c>
      <c r="D26" s="153"/>
      <c r="E26" s="153"/>
      <c r="F26" s="8"/>
      <c r="G26" s="49">
        <v>500</v>
      </c>
    </row>
    <row r="27" spans="1:11" x14ac:dyDescent="0.25">
      <c r="A27" s="3"/>
      <c r="B27" s="10"/>
      <c r="C27" s="152" t="s">
        <v>57</v>
      </c>
      <c r="D27" s="152"/>
      <c r="E27" s="152"/>
      <c r="F27" s="10"/>
      <c r="G27" s="51">
        <v>50</v>
      </c>
    </row>
    <row r="28" spans="1:11" ht="15.75" thickBot="1" x14ac:dyDescent="0.3">
      <c r="B28" s="11" t="s">
        <v>1</v>
      </c>
      <c r="C28" s="11"/>
      <c r="D28" s="11"/>
      <c r="E28" s="11"/>
      <c r="F28" s="11"/>
      <c r="G28" s="48">
        <f>+SUM(G20:G27)</f>
        <v>4000</v>
      </c>
      <c r="H28" s="85"/>
      <c r="I28" s="123"/>
      <c r="J28" s="123"/>
      <c r="K28" s="123"/>
    </row>
    <row r="29" spans="1:11" ht="15.75" x14ac:dyDescent="0.25">
      <c r="B29" s="7" t="s">
        <v>2</v>
      </c>
      <c r="C29" s="8"/>
      <c r="D29" s="8"/>
      <c r="E29" s="8"/>
      <c r="F29" s="8"/>
      <c r="G29" s="12"/>
    </row>
    <row r="30" spans="1:11" x14ac:dyDescent="0.25">
      <c r="B30" s="8"/>
      <c r="C30" s="8" t="s">
        <v>3</v>
      </c>
      <c r="D30" s="8"/>
      <c r="E30" s="8"/>
      <c r="F30" s="8"/>
      <c r="G30" s="49">
        <v>1800</v>
      </c>
    </row>
    <row r="31" spans="1:11" x14ac:dyDescent="0.25">
      <c r="B31" s="8"/>
      <c r="C31" s="8" t="s">
        <v>49</v>
      </c>
      <c r="D31" s="8"/>
      <c r="E31" s="8"/>
      <c r="F31" s="8"/>
      <c r="G31" s="49"/>
    </row>
    <row r="32" spans="1:11" x14ac:dyDescent="0.25">
      <c r="B32" s="8"/>
      <c r="C32" s="8" t="s">
        <v>50</v>
      </c>
      <c r="D32" s="8"/>
      <c r="E32" s="8"/>
      <c r="F32" s="8"/>
      <c r="G32" s="49"/>
    </row>
    <row r="33" spans="1:11" x14ac:dyDescent="0.25">
      <c r="B33" s="8"/>
      <c r="C33" s="8" t="s">
        <v>51</v>
      </c>
      <c r="D33" s="8"/>
      <c r="E33" s="8"/>
      <c r="F33" s="8"/>
      <c r="G33" s="49"/>
    </row>
    <row r="34" spans="1:11" x14ac:dyDescent="0.25">
      <c r="B34" s="8"/>
      <c r="C34" s="8"/>
      <c r="D34" s="8"/>
      <c r="E34" s="8"/>
      <c r="F34" s="8"/>
      <c r="G34" s="14">
        <f>+SUM(G30:G33)/G28</f>
        <v>0.45</v>
      </c>
    </row>
    <row r="35" spans="1:11" x14ac:dyDescent="0.25">
      <c r="B35" s="8"/>
      <c r="C35" s="8" t="s">
        <v>87</v>
      </c>
      <c r="D35" s="8"/>
      <c r="E35" s="8"/>
      <c r="F35" s="8"/>
      <c r="G35" s="50">
        <v>60</v>
      </c>
    </row>
    <row r="36" spans="1:11" ht="15.75" thickBot="1" x14ac:dyDescent="0.3">
      <c r="B36" s="11"/>
      <c r="C36" s="11" t="s">
        <v>4</v>
      </c>
      <c r="D36" s="11"/>
      <c r="E36" s="11"/>
      <c r="F36" s="11"/>
      <c r="G36" s="15">
        <f>+G35/G28</f>
        <v>1.4999999999999999E-2</v>
      </c>
      <c r="H36" s="85"/>
      <c r="I36" s="123"/>
      <c r="J36" s="123"/>
      <c r="K36" s="123"/>
    </row>
    <row r="37" spans="1:11" ht="15.75" x14ac:dyDescent="0.25">
      <c r="B37" s="7" t="s">
        <v>5</v>
      </c>
      <c r="C37" s="16"/>
      <c r="D37" s="16"/>
      <c r="E37" s="16"/>
      <c r="F37" s="16"/>
      <c r="G37" s="13"/>
    </row>
    <row r="38" spans="1:11" x14ac:dyDescent="0.25">
      <c r="C38" s="8" t="s">
        <v>6</v>
      </c>
      <c r="D38" s="33">
        <v>3600</v>
      </c>
      <c r="E38" s="57" t="s">
        <v>124</v>
      </c>
      <c r="F38" s="57"/>
      <c r="G38" s="58"/>
    </row>
    <row r="39" spans="1:11" x14ac:dyDescent="0.25">
      <c r="C39" s="17" t="s">
        <v>7</v>
      </c>
      <c r="D39" s="33">
        <v>2250</v>
      </c>
      <c r="E39" s="57" t="s">
        <v>125</v>
      </c>
      <c r="F39" s="57"/>
      <c r="G39" s="58"/>
    </row>
    <row r="40" spans="1:11" x14ac:dyDescent="0.25">
      <c r="C40" s="8" t="s">
        <v>8</v>
      </c>
      <c r="D40" s="34">
        <v>480</v>
      </c>
      <c r="E40" s="57" t="s">
        <v>9</v>
      </c>
      <c r="F40" s="57"/>
      <c r="G40" s="58"/>
    </row>
    <row r="41" spans="1:11" ht="15.75" thickBot="1" x14ac:dyDescent="0.3">
      <c r="B41" s="18"/>
      <c r="C41" s="18"/>
      <c r="D41" s="18"/>
      <c r="E41" s="18"/>
      <c r="F41" s="18"/>
      <c r="G41" s="18"/>
      <c r="H41" s="85"/>
      <c r="I41" s="123"/>
      <c r="J41" s="123"/>
      <c r="K41" s="123"/>
    </row>
    <row r="42" spans="1:11" ht="15.75" x14ac:dyDescent="0.25">
      <c r="B42" s="7" t="s">
        <v>10</v>
      </c>
      <c r="C42" s="8"/>
      <c r="D42" s="8"/>
      <c r="E42" s="8"/>
      <c r="F42" s="8"/>
      <c r="G42" s="13"/>
    </row>
    <row r="43" spans="1:11" x14ac:dyDescent="0.25">
      <c r="B43" s="8"/>
      <c r="C43" s="16" t="s">
        <v>11</v>
      </c>
      <c r="D43" s="8"/>
      <c r="E43" s="8"/>
      <c r="F43" s="8"/>
      <c r="G43" s="70">
        <v>20800</v>
      </c>
      <c r="I43" s="72">
        <f>+$G43*(I$20/SUM($I$20:$K$20))</f>
        <v>16640</v>
      </c>
      <c r="K43" s="72">
        <f>+$G43*(K$20/SUM($I$20:$K$20))</f>
        <v>4160</v>
      </c>
    </row>
    <row r="44" spans="1:11" x14ac:dyDescent="0.25">
      <c r="B44" s="8"/>
      <c r="C44" s="19" t="s">
        <v>12</v>
      </c>
      <c r="D44" s="20">
        <v>0.3</v>
      </c>
      <c r="E44" s="21">
        <v>80</v>
      </c>
      <c r="F44" s="53"/>
      <c r="G44" s="72">
        <f>+G$35*$D44*$E44</f>
        <v>1440</v>
      </c>
      <c r="I44" s="72">
        <f>+$G44*(I$20/SUM($I$20:$K$20))</f>
        <v>1152</v>
      </c>
      <c r="K44" s="72">
        <f>+$G44*(K$20/SUM($I$20:$K$20))</f>
        <v>288</v>
      </c>
    </row>
    <row r="45" spans="1:11" x14ac:dyDescent="0.25">
      <c r="A45" s="3"/>
      <c r="B45" s="22"/>
      <c r="C45" s="8"/>
      <c r="D45" s="23">
        <f>1-D44</f>
        <v>0.7</v>
      </c>
      <c r="E45" s="21">
        <v>0</v>
      </c>
      <c r="F45" s="53"/>
      <c r="G45" s="72">
        <f>+G$35*$D45*$E45</f>
        <v>0</v>
      </c>
      <c r="I45" s="72">
        <f>+$G45*(I$20/SUM($I$20:$K$20))</f>
        <v>0</v>
      </c>
      <c r="K45" s="72">
        <f>+$G45*(K$20/SUM($I$20:$K$20))</f>
        <v>0</v>
      </c>
    </row>
    <row r="46" spans="1:11" x14ac:dyDescent="0.25">
      <c r="A46" s="3"/>
      <c r="B46" s="24"/>
      <c r="C46" s="8" t="s">
        <v>13</v>
      </c>
      <c r="D46" s="8"/>
      <c r="E46" s="8"/>
      <c r="F46" s="8"/>
      <c r="G46" s="70">
        <v>900</v>
      </c>
      <c r="I46" s="72">
        <f>+$G46*(I$20/SUM($I$20:$K$20))</f>
        <v>720</v>
      </c>
      <c r="K46" s="72">
        <f>+$G46*(K$20/SUM($I$20:$K$20))</f>
        <v>180</v>
      </c>
    </row>
    <row r="47" spans="1:11" x14ac:dyDescent="0.25">
      <c r="A47" s="3"/>
      <c r="B47" s="24"/>
      <c r="C47" s="8" t="s">
        <v>121</v>
      </c>
      <c r="D47" s="8"/>
      <c r="E47" s="8"/>
      <c r="F47" s="8"/>
      <c r="G47" s="70">
        <v>4000</v>
      </c>
      <c r="I47" s="72"/>
      <c r="K47" s="111">
        <f>+G47</f>
        <v>4000</v>
      </c>
    </row>
    <row r="48" spans="1:11" x14ac:dyDescent="0.25">
      <c r="A48" s="4"/>
      <c r="B48" s="25"/>
      <c r="C48" s="8" t="s">
        <v>14</v>
      </c>
      <c r="D48" s="26"/>
      <c r="E48" s="26"/>
      <c r="F48" s="26"/>
      <c r="G48" s="70">
        <v>11300</v>
      </c>
      <c r="I48" s="72">
        <f>+$G48*(I$20/SUM($I$20:$K$20))</f>
        <v>9040</v>
      </c>
      <c r="K48" s="72">
        <f>+$G48*(K$20/SUM($I$20:$K$20))</f>
        <v>2260</v>
      </c>
    </row>
    <row r="49" spans="1:11" x14ac:dyDescent="0.25">
      <c r="A49" s="4"/>
      <c r="B49" s="25"/>
      <c r="C49" s="25" t="s">
        <v>15</v>
      </c>
      <c r="D49" s="25"/>
      <c r="E49" s="25"/>
      <c r="F49" s="25"/>
      <c r="G49" s="70">
        <v>10400</v>
      </c>
      <c r="I49" s="72">
        <f>+$G49*(I$20/SUM($I$20:$K$20))</f>
        <v>8320</v>
      </c>
      <c r="K49" s="72">
        <f>+$G49*(K$20/SUM($I$20:$K$20))</f>
        <v>2080</v>
      </c>
    </row>
    <row r="50" spans="1:11" x14ac:dyDescent="0.25">
      <c r="A50" s="4"/>
      <c r="B50" s="25"/>
      <c r="C50" s="25" t="s">
        <v>94</v>
      </c>
      <c r="D50" s="25"/>
      <c r="E50" s="25"/>
      <c r="F50" s="25"/>
      <c r="G50" s="70"/>
      <c r="I50" s="72">
        <f>+$G50*(I$20/SUM($I$20:$K$20))</f>
        <v>0</v>
      </c>
      <c r="K50" s="72">
        <f>+$G50*(K$20/SUM($I$20:$K$20))</f>
        <v>0</v>
      </c>
    </row>
    <row r="51" spans="1:11" x14ac:dyDescent="0.25">
      <c r="A51" s="27"/>
      <c r="B51" s="25"/>
      <c r="C51" s="8" t="s">
        <v>16</v>
      </c>
      <c r="G51" s="70">
        <v>4500</v>
      </c>
      <c r="I51" s="72">
        <f>+$G51*(I$20/SUM($I$20:$K$20))</f>
        <v>3600</v>
      </c>
      <c r="K51" s="72">
        <f>+$G51*(K$20/SUM($I$20:$K$20))</f>
        <v>900</v>
      </c>
    </row>
    <row r="52" spans="1:11" x14ac:dyDescent="0.25">
      <c r="A52" s="27"/>
      <c r="B52" s="25"/>
      <c r="C52" s="8" t="s">
        <v>122</v>
      </c>
      <c r="G52" s="70">
        <v>5000</v>
      </c>
      <c r="I52" s="72"/>
      <c r="K52" s="111">
        <f>+G52</f>
        <v>5000</v>
      </c>
    </row>
    <row r="53" spans="1:11" x14ac:dyDescent="0.25">
      <c r="A53" s="27"/>
      <c r="B53" s="28"/>
      <c r="C53" s="8" t="s">
        <v>17</v>
      </c>
      <c r="G53" s="70">
        <v>20300</v>
      </c>
      <c r="I53" s="72">
        <f>+$G53*(I$20/SUM($I$20:$K$20))</f>
        <v>16240</v>
      </c>
      <c r="K53" s="72">
        <f>+$G53*(K$20/SUM($I$20:$K$20))</f>
        <v>4060</v>
      </c>
    </row>
    <row r="54" spans="1:11" x14ac:dyDescent="0.25">
      <c r="A54" s="27"/>
      <c r="B54" s="28"/>
      <c r="C54" s="8" t="s">
        <v>18</v>
      </c>
      <c r="G54" s="70">
        <v>100</v>
      </c>
      <c r="I54" s="72">
        <f>+$G54*(I$20/SUM($I$20:$K$20))</f>
        <v>80</v>
      </c>
      <c r="K54" s="72">
        <f>+$G54*(K$20/SUM($I$20:$K$20))</f>
        <v>20</v>
      </c>
    </row>
    <row r="55" spans="1:11" x14ac:dyDescent="0.25">
      <c r="A55" s="27"/>
      <c r="B55" s="25"/>
      <c r="C55" s="58" t="s">
        <v>96</v>
      </c>
      <c r="G55" s="70"/>
      <c r="I55" s="72">
        <f>+$G55*(I$20/SUM($I$20:$K$20))</f>
        <v>0</v>
      </c>
      <c r="K55" s="72">
        <f>+$G55*(K$20/SUM($I$20:$K$20))</f>
        <v>0</v>
      </c>
    </row>
    <row r="56" spans="1:11" x14ac:dyDescent="0.25">
      <c r="A56" s="27"/>
      <c r="B56" s="29"/>
      <c r="C56" s="108" t="s">
        <v>96</v>
      </c>
      <c r="G56" s="70"/>
      <c r="I56" s="64">
        <f>+$G56*(I$20/SUM($I$20:$K$20))</f>
        <v>0</v>
      </c>
      <c r="K56" s="64">
        <f>+$G56*(K$20/SUM($I$20:$K$20))</f>
        <v>0</v>
      </c>
    </row>
    <row r="57" spans="1:11" ht="15.75" thickBot="1" x14ac:dyDescent="0.3">
      <c r="A57" s="27"/>
      <c r="B57" s="30" t="s">
        <v>1</v>
      </c>
      <c r="C57" s="30"/>
      <c r="D57" s="30"/>
      <c r="E57" s="30"/>
      <c r="F57" s="30"/>
      <c r="G57" s="66">
        <f>+SUM(G43:G56)</f>
        <v>78740</v>
      </c>
      <c r="I57" s="66">
        <f>+SUM(I43:I56)</f>
        <v>55792</v>
      </c>
      <c r="K57" s="66">
        <f>+SUM(K43:K56)</f>
        <v>22948</v>
      </c>
    </row>
    <row r="58" spans="1:11" ht="15.75" x14ac:dyDescent="0.25">
      <c r="A58" s="27"/>
      <c r="B58" s="7" t="s">
        <v>20</v>
      </c>
      <c r="C58" s="17"/>
      <c r="D58" s="17"/>
      <c r="E58" s="17"/>
      <c r="F58" s="17"/>
      <c r="G58" s="17"/>
    </row>
    <row r="59" spans="1:11" ht="15.75" x14ac:dyDescent="0.25">
      <c r="A59" s="27"/>
      <c r="B59" s="7"/>
      <c r="C59" s="17" t="s">
        <v>21</v>
      </c>
      <c r="D59" s="31">
        <f>+SUM(D67:D70,D64)</f>
        <v>9650</v>
      </c>
      <c r="E59" s="83">
        <v>10</v>
      </c>
      <c r="F59" s="36"/>
      <c r="G59" s="69">
        <f>+$D$59*$E$59</f>
        <v>96500</v>
      </c>
    </row>
    <row r="60" spans="1:11" x14ac:dyDescent="0.25">
      <c r="A60" s="27"/>
      <c r="B60" s="17"/>
      <c r="C60" s="17" t="s">
        <v>22</v>
      </c>
      <c r="D60" s="9"/>
      <c r="E60" s="9"/>
      <c r="F60" s="54"/>
      <c r="G60" s="70">
        <v>5000</v>
      </c>
    </row>
    <row r="61" spans="1:11" x14ac:dyDescent="0.25">
      <c r="A61" s="27"/>
      <c r="B61" s="17"/>
      <c r="C61" s="17" t="s">
        <v>95</v>
      </c>
      <c r="D61" s="9"/>
      <c r="E61" s="9"/>
      <c r="F61" s="54"/>
      <c r="G61" s="70"/>
    </row>
    <row r="62" spans="1:11" x14ac:dyDescent="0.25">
      <c r="A62" s="27"/>
      <c r="B62" s="17"/>
      <c r="C62" s="17" t="s">
        <v>23</v>
      </c>
      <c r="D62" s="9"/>
      <c r="E62" s="9"/>
      <c r="F62" s="54"/>
      <c r="G62" s="70">
        <v>10000</v>
      </c>
    </row>
    <row r="63" spans="1:11" x14ac:dyDescent="0.25">
      <c r="A63" s="27"/>
      <c r="B63" s="17"/>
      <c r="C63" s="17" t="s">
        <v>24</v>
      </c>
      <c r="D63" s="9"/>
      <c r="E63" s="9"/>
      <c r="F63" s="54"/>
      <c r="G63" s="70">
        <v>7500</v>
      </c>
    </row>
    <row r="64" spans="1:11" x14ac:dyDescent="0.25">
      <c r="A64" s="27"/>
      <c r="B64" s="17"/>
      <c r="C64" s="17" t="s">
        <v>151</v>
      </c>
      <c r="D64" s="31">
        <f>+D38</f>
        <v>3600</v>
      </c>
      <c r="E64" s="32">
        <v>45</v>
      </c>
      <c r="F64" s="36"/>
      <c r="G64" s="69">
        <f>+$D64*$E64</f>
        <v>162000</v>
      </c>
    </row>
    <row r="65" spans="1:11" x14ac:dyDescent="0.25">
      <c r="A65" s="27"/>
      <c r="B65" s="17"/>
      <c r="C65" s="17" t="s">
        <v>152</v>
      </c>
      <c r="D65" s="33">
        <v>200</v>
      </c>
      <c r="E65" s="32">
        <v>45</v>
      </c>
      <c r="F65" s="36"/>
      <c r="G65" s="69">
        <f>+$D65*$E65</f>
        <v>9000</v>
      </c>
    </row>
    <row r="66" spans="1:11" x14ac:dyDescent="0.25">
      <c r="A66" s="27"/>
      <c r="B66" s="17"/>
      <c r="C66" s="17" t="s">
        <v>8</v>
      </c>
      <c r="D66" s="59">
        <f>+D40</f>
        <v>480</v>
      </c>
      <c r="E66" s="35">
        <v>85</v>
      </c>
      <c r="F66" s="55"/>
      <c r="G66" s="69">
        <f>+ROUNDUP($D66*$E66,-2)</f>
        <v>40800</v>
      </c>
    </row>
    <row r="67" spans="1:11" x14ac:dyDescent="0.25">
      <c r="A67" s="27"/>
      <c r="B67" s="17"/>
      <c r="C67" s="17" t="s">
        <v>25</v>
      </c>
      <c r="D67" s="31">
        <f>+D39</f>
        <v>2250</v>
      </c>
      <c r="E67" s="32">
        <v>30</v>
      </c>
      <c r="F67" s="36"/>
      <c r="G67" s="69">
        <f t="shared" ref="G67:G69" si="0">+$D67*$E67</f>
        <v>67500</v>
      </c>
    </row>
    <row r="68" spans="1:11" x14ac:dyDescent="0.25">
      <c r="A68" s="27"/>
      <c r="B68" s="17"/>
      <c r="C68" s="17" t="s">
        <v>26</v>
      </c>
      <c r="D68" s="33">
        <v>1000</v>
      </c>
      <c r="E68" s="32">
        <v>30</v>
      </c>
      <c r="F68" s="36"/>
      <c r="G68" s="69">
        <f t="shared" si="0"/>
        <v>30000</v>
      </c>
    </row>
    <row r="69" spans="1:11" x14ac:dyDescent="0.25">
      <c r="A69" s="27"/>
      <c r="B69" s="17"/>
      <c r="C69" s="17" t="s">
        <v>27</v>
      </c>
      <c r="D69" s="33">
        <v>2000</v>
      </c>
      <c r="E69" s="32">
        <v>30</v>
      </c>
      <c r="F69" s="36"/>
      <c r="G69" s="69">
        <f t="shared" si="0"/>
        <v>60000</v>
      </c>
    </row>
    <row r="70" spans="1:11" x14ac:dyDescent="0.25">
      <c r="A70" s="27"/>
      <c r="B70" s="17"/>
      <c r="C70" s="17" t="s">
        <v>29</v>
      </c>
      <c r="D70" s="33">
        <v>800</v>
      </c>
      <c r="E70" s="36"/>
      <c r="F70" s="36"/>
      <c r="G70" s="70">
        <v>15000</v>
      </c>
    </row>
    <row r="71" spans="1:11" x14ac:dyDescent="0.25">
      <c r="A71" s="27"/>
      <c r="B71" s="17"/>
      <c r="C71" s="17" t="s">
        <v>28</v>
      </c>
      <c r="D71" s="31"/>
      <c r="E71" s="36"/>
      <c r="F71" s="36"/>
      <c r="G71" s="70">
        <v>15000</v>
      </c>
    </row>
    <row r="72" spans="1:11" x14ac:dyDescent="0.25">
      <c r="A72" s="27"/>
      <c r="B72" s="17"/>
      <c r="C72" s="62" t="s">
        <v>96</v>
      </c>
      <c r="D72" s="31"/>
      <c r="E72" s="36"/>
      <c r="F72" s="36"/>
      <c r="G72" s="70"/>
    </row>
    <row r="73" spans="1:11" x14ac:dyDescent="0.25">
      <c r="A73" s="27"/>
      <c r="B73" s="17"/>
      <c r="C73" s="62" t="s">
        <v>96</v>
      </c>
      <c r="D73" s="31"/>
      <c r="E73" s="36"/>
      <c r="F73" s="36"/>
      <c r="G73" s="70"/>
    </row>
    <row r="74" spans="1:11" x14ac:dyDescent="0.25">
      <c r="A74" s="27"/>
      <c r="B74" s="37"/>
      <c r="C74" s="37" t="s">
        <v>30</v>
      </c>
      <c r="D74" s="10"/>
      <c r="E74" s="10"/>
      <c r="F74" s="10"/>
      <c r="G74" s="71">
        <v>7500</v>
      </c>
    </row>
    <row r="75" spans="1:11" x14ac:dyDescent="0.25">
      <c r="A75" s="27"/>
      <c r="B75" s="17"/>
      <c r="C75" s="17" t="s">
        <v>1</v>
      </c>
      <c r="D75" s="17"/>
      <c r="E75" s="17"/>
      <c r="F75" s="17"/>
      <c r="G75" s="72">
        <f>+SUM(G59:G74)</f>
        <v>525800</v>
      </c>
      <c r="I75" s="122"/>
      <c r="K75" s="122"/>
    </row>
    <row r="76" spans="1:11" ht="15.75" thickBot="1" x14ac:dyDescent="0.3">
      <c r="B76" s="38" t="s">
        <v>31</v>
      </c>
      <c r="C76" s="38"/>
      <c r="D76" s="39">
        <v>25</v>
      </c>
      <c r="E76" s="40">
        <v>0.05</v>
      </c>
      <c r="F76" s="56"/>
      <c r="G76" s="68">
        <f>-PMT($E$76,$D$76,G75)</f>
        <v>37306.802047934929</v>
      </c>
      <c r="I76" s="67">
        <f>+$G76*(I$20/SUM($I$20:$K$20))</f>
        <v>29845.441638347944</v>
      </c>
      <c r="J76" s="123"/>
      <c r="K76" s="67">
        <f>+$G76*(K$20/SUM($I$20:$K$20))</f>
        <v>7461.360409586986</v>
      </c>
    </row>
    <row r="77" spans="1:11" ht="15.75" x14ac:dyDescent="0.25">
      <c r="B77" s="7" t="s">
        <v>32</v>
      </c>
      <c r="C77" s="17"/>
      <c r="D77" s="17"/>
      <c r="E77" s="17"/>
      <c r="F77" s="17"/>
      <c r="G77" s="17"/>
    </row>
    <row r="78" spans="1:11" x14ac:dyDescent="0.25">
      <c r="B78" s="17"/>
      <c r="C78" s="17" t="s">
        <v>33</v>
      </c>
      <c r="E78" s="41">
        <v>25</v>
      </c>
      <c r="F78" s="17"/>
      <c r="G78" s="73">
        <v>900</v>
      </c>
      <c r="H78" s="61">
        <f>+G78/52</f>
        <v>17.307692307692307</v>
      </c>
    </row>
    <row r="79" spans="1:11" x14ac:dyDescent="0.25">
      <c r="B79" s="17"/>
      <c r="C79" s="17" t="s">
        <v>34</v>
      </c>
      <c r="E79" s="41">
        <v>20</v>
      </c>
      <c r="F79" s="17"/>
      <c r="G79" s="73">
        <v>260</v>
      </c>
      <c r="H79" s="61">
        <f>+G79/52</f>
        <v>5</v>
      </c>
    </row>
    <row r="80" spans="1:11" x14ac:dyDescent="0.25">
      <c r="B80" s="10"/>
      <c r="C80" s="10" t="s">
        <v>35</v>
      </c>
      <c r="D80" s="60"/>
      <c r="E80" s="42">
        <v>15</v>
      </c>
      <c r="F80" s="10"/>
      <c r="G80" s="74">
        <v>300</v>
      </c>
      <c r="H80" s="61">
        <f>+G80/52</f>
        <v>5.7692307692307692</v>
      </c>
    </row>
    <row r="81" spans="1:11" x14ac:dyDescent="0.25">
      <c r="B81" s="43"/>
      <c r="C81" s="43" t="s">
        <v>36</v>
      </c>
      <c r="D81" s="16"/>
      <c r="E81" s="43"/>
      <c r="F81" s="43"/>
      <c r="G81" s="75">
        <f>+SUM(G78:G80)</f>
        <v>1460</v>
      </c>
    </row>
    <row r="82" spans="1:11" x14ac:dyDescent="0.25">
      <c r="C82" s="17" t="s">
        <v>32</v>
      </c>
      <c r="D82" s="97"/>
      <c r="E82" s="16"/>
      <c r="F82" s="16"/>
      <c r="G82" s="72">
        <f>+SUMPRODUCT($E$78:$E$80,G78:G80)</f>
        <v>32200</v>
      </c>
      <c r="I82" s="72">
        <f>+$G82*(I$20/SUM($I$20:$K$20))</f>
        <v>25760</v>
      </c>
      <c r="K82" s="72">
        <f>+$G82*(K$20/SUM($I$20:$K$20))</f>
        <v>6440</v>
      </c>
    </row>
    <row r="83" spans="1:11" ht="15.75" thickBot="1" x14ac:dyDescent="0.3">
      <c r="B83" s="18"/>
      <c r="C83" s="11" t="s">
        <v>109</v>
      </c>
      <c r="D83" s="39">
        <v>10</v>
      </c>
      <c r="E83" s="40">
        <v>0.05</v>
      </c>
      <c r="F83" s="18"/>
      <c r="G83" s="68">
        <f>-PMT($E$83,$D$83,SUM($D$16:$G$17))</f>
        <v>11655.411746891099</v>
      </c>
      <c r="I83" s="123"/>
      <c r="K83" s="126">
        <f>+G83</f>
        <v>11655.411746891099</v>
      </c>
    </row>
    <row r="84" spans="1:11" ht="15.75" x14ac:dyDescent="0.25">
      <c r="B84" s="7" t="s">
        <v>37</v>
      </c>
      <c r="C84" s="8"/>
      <c r="D84" s="8"/>
      <c r="E84" s="8"/>
      <c r="F84" s="8"/>
      <c r="G84" s="8"/>
    </row>
    <row r="85" spans="1:11" ht="15.75" x14ac:dyDescent="0.25">
      <c r="B85" s="7"/>
      <c r="C85" s="8" t="s">
        <v>107</v>
      </c>
      <c r="D85" s="8"/>
      <c r="E85" s="8"/>
      <c r="F85" s="8"/>
      <c r="G85" s="73">
        <v>1000</v>
      </c>
      <c r="H85" s="114">
        <f>+IFERROR(G85/SUM(D12:G12),"--")</f>
        <v>25</v>
      </c>
      <c r="K85" s="124">
        <f>+G85</f>
        <v>1000</v>
      </c>
    </row>
    <row r="86" spans="1:11" ht="15.75" x14ac:dyDescent="0.25">
      <c r="B86" s="7"/>
      <c r="C86" s="8" t="s">
        <v>38</v>
      </c>
      <c r="D86" s="8"/>
      <c r="E86" s="8"/>
      <c r="F86" s="8"/>
      <c r="G86" s="76">
        <f>+G81</f>
        <v>1460</v>
      </c>
      <c r="I86" s="76">
        <f>+$G86*(I$20/SUM($I$20:$K$20))</f>
        <v>1168</v>
      </c>
      <c r="K86" s="76">
        <f>+$G86*(K$20/SUM($I$20:$K$20))</f>
        <v>292</v>
      </c>
    </row>
    <row r="87" spans="1:11" x14ac:dyDescent="0.25">
      <c r="B87" s="10"/>
      <c r="C87" s="10" t="s">
        <v>97</v>
      </c>
      <c r="D87" s="10"/>
      <c r="E87" s="10"/>
      <c r="F87" s="10"/>
      <c r="G87" s="74">
        <v>1500</v>
      </c>
      <c r="I87" s="125">
        <f>+$G87*(I$20/SUM($I$20:$K$20))</f>
        <v>1200</v>
      </c>
      <c r="K87" s="125">
        <f>+$G87*(K$20/SUM($I$20:$K$20))</f>
        <v>300</v>
      </c>
    </row>
    <row r="88" spans="1:11" ht="15.75" thickBot="1" x14ac:dyDescent="0.3">
      <c r="B88" s="11" t="s">
        <v>39</v>
      </c>
      <c r="C88" s="11"/>
      <c r="D88" s="44">
        <v>15</v>
      </c>
      <c r="E88" s="11"/>
      <c r="F88" s="11"/>
      <c r="G88" s="67">
        <f>+SUM(G85:G87)*$D$88</f>
        <v>59400</v>
      </c>
      <c r="I88" s="67">
        <f>+SUM(I85:I87)*$D$88</f>
        <v>35520</v>
      </c>
      <c r="K88" s="67">
        <f>+SUM(K85:K87)*$D$88</f>
        <v>23880</v>
      </c>
    </row>
    <row r="89" spans="1:11" s="93" customFormat="1" ht="4.5" customHeight="1" thickBot="1" x14ac:dyDescent="0.3">
      <c r="A89" s="96"/>
      <c r="B89" s="98"/>
      <c r="C89" s="98"/>
      <c r="D89" s="99"/>
      <c r="E89" s="98"/>
      <c r="F89" s="98"/>
      <c r="G89" s="82"/>
      <c r="J89" s="120"/>
    </row>
    <row r="90" spans="1:11" s="93" customFormat="1" ht="12" customHeight="1" x14ac:dyDescent="0.25">
      <c r="A90" s="96"/>
      <c r="B90" s="100" t="s">
        <v>108</v>
      </c>
      <c r="C90" s="100"/>
      <c r="D90" s="101"/>
      <c r="E90" s="104">
        <v>2778.98</v>
      </c>
      <c r="F90" s="101"/>
      <c r="G90" s="113"/>
      <c r="J90" s="120"/>
    </row>
    <row r="91" spans="1:11" s="93" customFormat="1" ht="12" customHeight="1" thickBot="1" x14ac:dyDescent="0.3">
      <c r="A91" s="96"/>
      <c r="B91" s="102"/>
      <c r="C91" s="102" t="s">
        <v>123</v>
      </c>
      <c r="D91" s="105"/>
      <c r="E91" s="106">
        <f>+ROUND(E90*68.3%,-2)</f>
        <v>1900</v>
      </c>
      <c r="F91" s="103"/>
      <c r="G91" s="107">
        <f>+E91*14/1740</f>
        <v>15.287356321839081</v>
      </c>
      <c r="J91" s="120"/>
    </row>
    <row r="92" spans="1:11" s="93" customFormat="1" ht="4.5" customHeight="1" x14ac:dyDescent="0.25">
      <c r="A92" s="96"/>
      <c r="B92" s="17"/>
      <c r="C92" s="17"/>
      <c r="D92"/>
      <c r="E92"/>
      <c r="F92"/>
      <c r="G92"/>
      <c r="J92" s="120"/>
    </row>
    <row r="93" spans="1:11" ht="15.75" x14ac:dyDescent="0.25">
      <c r="B93" s="7" t="s">
        <v>40</v>
      </c>
      <c r="C93" s="8"/>
      <c r="D93"/>
      <c r="E93"/>
      <c r="F93"/>
      <c r="G93"/>
    </row>
    <row r="94" spans="1:11" ht="15.75" x14ac:dyDescent="0.25">
      <c r="B94" s="7"/>
      <c r="C94" s="25" t="s">
        <v>93</v>
      </c>
      <c r="D94" s="26"/>
      <c r="E94" s="25"/>
      <c r="F94" s="25"/>
      <c r="G94" s="70">
        <v>12000</v>
      </c>
      <c r="I94" s="72">
        <f t="shared" ref="I94:I100" si="1">+$G94*(I$20/SUM($I$20:$K$20))</f>
        <v>9600</v>
      </c>
      <c r="K94" s="72">
        <f t="shared" ref="K94:K100" si="2">+$G94*(K$20/SUM($I$20:$K$20))</f>
        <v>2400</v>
      </c>
    </row>
    <row r="95" spans="1:11" ht="15.75" x14ac:dyDescent="0.25">
      <c r="B95" s="7"/>
      <c r="C95" s="25" t="s">
        <v>19</v>
      </c>
      <c r="D95" s="25"/>
      <c r="E95" s="25"/>
      <c r="F95" s="25"/>
      <c r="G95" s="65">
        <v>4500</v>
      </c>
      <c r="I95" s="72">
        <f t="shared" si="1"/>
        <v>3600</v>
      </c>
      <c r="K95" s="72">
        <f t="shared" si="2"/>
        <v>900</v>
      </c>
    </row>
    <row r="96" spans="1:11" ht="15.75" x14ac:dyDescent="0.25">
      <c r="B96" s="7"/>
      <c r="C96" s="8" t="s">
        <v>110</v>
      </c>
      <c r="D96" s="109">
        <v>10</v>
      </c>
      <c r="E96" s="110">
        <v>0.05</v>
      </c>
      <c r="F96"/>
      <c r="G96" s="111">
        <f>-PMT($E$96,$D$96,SUM($D$15:$G$15))</f>
        <v>1942.5686244818498</v>
      </c>
      <c r="K96" s="72">
        <f>+G96</f>
        <v>1942.5686244818498</v>
      </c>
    </row>
    <row r="97" spans="2:11" x14ac:dyDescent="0.25">
      <c r="B97" s="8"/>
      <c r="C97" s="8" t="s">
        <v>41</v>
      </c>
      <c r="D97" s="8"/>
      <c r="E97" s="8"/>
      <c r="F97" s="8"/>
      <c r="G97" s="65">
        <v>800</v>
      </c>
      <c r="I97" s="72">
        <f t="shared" si="1"/>
        <v>640</v>
      </c>
      <c r="K97" s="72">
        <f t="shared" si="2"/>
        <v>160</v>
      </c>
    </row>
    <row r="98" spans="2:11" x14ac:dyDescent="0.25">
      <c r="B98" s="8"/>
      <c r="C98" s="8" t="s">
        <v>42</v>
      </c>
      <c r="D98" s="8"/>
      <c r="E98" s="8"/>
      <c r="F98" s="8"/>
      <c r="G98" s="65">
        <v>1500</v>
      </c>
      <c r="I98" s="72">
        <f t="shared" si="1"/>
        <v>1200</v>
      </c>
      <c r="K98" s="72">
        <f t="shared" si="2"/>
        <v>300</v>
      </c>
    </row>
    <row r="99" spans="2:11" x14ac:dyDescent="0.25">
      <c r="B99" s="8"/>
      <c r="C99" s="57" t="s">
        <v>96</v>
      </c>
      <c r="D99" s="8"/>
      <c r="E99" s="8"/>
      <c r="F99" s="8"/>
      <c r="G99" s="65"/>
      <c r="I99" s="72">
        <f t="shared" si="1"/>
        <v>0</v>
      </c>
      <c r="K99" s="72">
        <f t="shared" si="2"/>
        <v>0</v>
      </c>
    </row>
    <row r="100" spans="2:11" x14ac:dyDescent="0.25">
      <c r="B100" s="10"/>
      <c r="C100" s="10" t="s">
        <v>43</v>
      </c>
      <c r="D100" s="10"/>
      <c r="E100" s="10"/>
      <c r="F100" s="10"/>
      <c r="G100" s="64">
        <f>ROUNDUP(0.5*G28,-2)</f>
        <v>2000</v>
      </c>
      <c r="I100" s="72">
        <f t="shared" si="1"/>
        <v>1600</v>
      </c>
      <c r="K100" s="72">
        <f t="shared" si="2"/>
        <v>400</v>
      </c>
    </row>
    <row r="101" spans="2:11" ht="15.75" thickBot="1" x14ac:dyDescent="0.3">
      <c r="B101" s="45"/>
      <c r="C101" s="45" t="s">
        <v>1</v>
      </c>
      <c r="D101" s="45"/>
      <c r="E101" s="45"/>
      <c r="F101" s="45"/>
      <c r="G101" s="66">
        <f>+SUM(G94:G100)</f>
        <v>22742.56862448185</v>
      </c>
      <c r="I101" s="66">
        <f>+SUM(I94:I100)</f>
        <v>16640</v>
      </c>
      <c r="K101" s="66">
        <f>+SUM(K94:K100)</f>
        <v>6102.5686244818498</v>
      </c>
    </row>
    <row r="102" spans="2:11" ht="4.5" customHeight="1" x14ac:dyDescent="0.25">
      <c r="B102" s="8"/>
      <c r="C102" s="8"/>
      <c r="D102" s="8"/>
      <c r="E102" s="8"/>
      <c r="F102" s="8"/>
      <c r="G102" s="8"/>
    </row>
    <row r="103" spans="2:11" ht="15.75" x14ac:dyDescent="0.25">
      <c r="B103" s="46" t="s">
        <v>44</v>
      </c>
      <c r="C103" s="47"/>
      <c r="D103" s="47"/>
      <c r="E103" s="47" t="s">
        <v>45</v>
      </c>
      <c r="F103" s="47"/>
      <c r="G103" s="77">
        <f>+G88+G82+G83+G76+G57+G101</f>
        <v>242044.78241930788</v>
      </c>
      <c r="I103" s="77">
        <f>+I88+I82+I83+I76+I57+I101</f>
        <v>163557.44163834793</v>
      </c>
      <c r="K103" s="77">
        <f>+K88+K82+K83+K76+K57+K101</f>
        <v>78487.34078095993</v>
      </c>
    </row>
    <row r="104" spans="2:11" ht="15.75" x14ac:dyDescent="0.25">
      <c r="B104" s="47"/>
      <c r="C104" s="47"/>
      <c r="D104" s="47"/>
      <c r="E104" s="47" t="s">
        <v>46</v>
      </c>
      <c r="F104" s="47"/>
      <c r="G104" s="78"/>
      <c r="I104" s="78">
        <f>+IFERROR(I103/I20,"")</f>
        <v>51.111700511983727</v>
      </c>
      <c r="K104" s="78">
        <f>+IFERROR(K103/K20,"")</f>
        <v>98.109175976199907</v>
      </c>
    </row>
    <row r="105" spans="2:11" ht="4.5" customHeight="1" thickBot="1" x14ac:dyDescent="0.3">
      <c r="B105" s="11"/>
      <c r="C105" s="11"/>
      <c r="D105" s="11"/>
      <c r="E105" s="11"/>
      <c r="F105" s="11"/>
      <c r="G105" s="11"/>
      <c r="I105" s="123"/>
      <c r="K105" s="123"/>
    </row>
    <row r="106" spans="2:11" ht="15.75" x14ac:dyDescent="0.25">
      <c r="B106" s="7" t="s">
        <v>47</v>
      </c>
      <c r="C106" s="8"/>
      <c r="D106" s="8"/>
      <c r="E106" s="8"/>
      <c r="F106" s="8"/>
      <c r="G106" s="8"/>
    </row>
    <row r="107" spans="2:11" x14ac:dyDescent="0.25">
      <c r="B107" s="8"/>
      <c r="C107" s="8" t="s">
        <v>3</v>
      </c>
      <c r="E107" s="35">
        <v>10</v>
      </c>
      <c r="F107" s="8"/>
      <c r="G107" s="59">
        <f>+G30/0.8</f>
        <v>2250</v>
      </c>
    </row>
    <row r="108" spans="2:11" x14ac:dyDescent="0.25">
      <c r="B108" s="8"/>
      <c r="C108" s="8" t="s">
        <v>49</v>
      </c>
      <c r="E108" s="35"/>
      <c r="F108" s="8"/>
      <c r="G108" s="63">
        <f>+G31/0.8</f>
        <v>0</v>
      </c>
    </row>
    <row r="109" spans="2:11" x14ac:dyDescent="0.25">
      <c r="B109" s="8"/>
      <c r="C109" s="8" t="s">
        <v>50</v>
      </c>
      <c r="E109" s="35"/>
      <c r="F109" s="8"/>
      <c r="G109" s="63">
        <f>+G32/0.8</f>
        <v>0</v>
      </c>
    </row>
    <row r="110" spans="2:11" x14ac:dyDescent="0.25">
      <c r="B110" s="8"/>
      <c r="C110" s="8" t="s">
        <v>51</v>
      </c>
      <c r="E110" s="35"/>
      <c r="F110" s="8"/>
      <c r="G110" s="63">
        <f>+G33/0.8</f>
        <v>0</v>
      </c>
    </row>
    <row r="111" spans="2:11" ht="15.75" thickBot="1" x14ac:dyDescent="0.3">
      <c r="B111" s="11"/>
      <c r="C111" s="11" t="s">
        <v>48</v>
      </c>
      <c r="D111" s="18"/>
      <c r="E111" s="11"/>
      <c r="F111" s="11"/>
      <c r="G111" s="67">
        <f>+SUMPRODUCT(E107:E110,G107:G110)</f>
        <v>22500</v>
      </c>
      <c r="I111" s="67">
        <f t="shared" ref="I111" si="3">+$G111*(I$20/SUM($I$20:$K$20))</f>
        <v>18000</v>
      </c>
      <c r="K111" s="67">
        <f t="shared" ref="K111" si="4">+$G111*(K$20/SUM($I$20:$K$20))</f>
        <v>4500</v>
      </c>
    </row>
    <row r="112" spans="2:11" ht="4.5" customHeight="1" thickBot="1" x14ac:dyDescent="0.3">
      <c r="B112" s="80"/>
      <c r="C112" s="80"/>
      <c r="D112" s="81"/>
      <c r="E112" s="80"/>
      <c r="F112" s="80"/>
      <c r="G112" s="82"/>
      <c r="I112" s="127"/>
    </row>
    <row r="113" spans="2:11" ht="19.5" thickBot="1" x14ac:dyDescent="0.35">
      <c r="B113" s="115" t="s">
        <v>115</v>
      </c>
      <c r="C113" s="79"/>
      <c r="D113" s="79"/>
      <c r="E113" s="79"/>
      <c r="F113" s="79"/>
      <c r="G113"/>
      <c r="I113" s="116">
        <f>+IFERROR(ROUNDUP((I103-I111)/I20,1),"")</f>
        <v>45.5</v>
      </c>
    </row>
    <row r="114" spans="2:11" ht="3" customHeight="1" thickBot="1" x14ac:dyDescent="0.3">
      <c r="B114" s="80"/>
      <c r="C114" s="80"/>
      <c r="D114" s="80"/>
      <c r="E114" s="80"/>
      <c r="F114" s="80"/>
      <c r="G114"/>
      <c r="K114" s="123"/>
    </row>
    <row r="115" spans="2:11" ht="19.5" thickBot="1" x14ac:dyDescent="0.35">
      <c r="B115" s="115" t="s">
        <v>120</v>
      </c>
      <c r="C115" s="115"/>
      <c r="D115" s="115"/>
      <c r="E115" s="115"/>
      <c r="F115" s="115"/>
      <c r="G115"/>
      <c r="K115" s="116">
        <f>+IFERROR((K103-K111)/(SUM(D9:D11)*D12+SUM(E9:F11)*E12+SUM(G9:G11)*G12),"")</f>
        <v>3.0828058658733304</v>
      </c>
    </row>
    <row r="116" spans="2:11" ht="5.25" customHeight="1" x14ac:dyDescent="0.25">
      <c r="B116" s="8"/>
      <c r="C116" s="8"/>
      <c r="D116" s="8"/>
      <c r="E116" s="8"/>
      <c r="F116" s="8"/>
      <c r="G116" s="8"/>
    </row>
    <row r="117" spans="2:11" x14ac:dyDescent="0.25">
      <c r="B117" s="8"/>
      <c r="C117" s="8"/>
      <c r="D117" s="8"/>
      <c r="E117" s="8"/>
      <c r="F117" s="8"/>
      <c r="G117" s="8"/>
    </row>
    <row r="118" spans="2:11" x14ac:dyDescent="0.25">
      <c r="B118" s="8"/>
      <c r="C118" s="8"/>
      <c r="D118" s="8"/>
      <c r="E118" s="8"/>
      <c r="F118" s="8"/>
      <c r="G118" s="8"/>
    </row>
    <row r="119" spans="2:11" x14ac:dyDescent="0.25">
      <c r="B119" s="8"/>
      <c r="C119" s="8"/>
      <c r="D119" s="8"/>
      <c r="E119" s="8"/>
      <c r="F119" s="8"/>
      <c r="G119" s="8"/>
    </row>
    <row r="120" spans="2:11" x14ac:dyDescent="0.25">
      <c r="B120" s="8"/>
      <c r="C120" s="8"/>
      <c r="D120" s="8"/>
      <c r="E120" s="8"/>
      <c r="F120" s="8"/>
      <c r="G120" s="8"/>
    </row>
    <row r="121" spans="2:11" x14ac:dyDescent="0.25">
      <c r="B121" s="8"/>
      <c r="C121" s="8"/>
      <c r="D121" s="8"/>
      <c r="E121" s="8"/>
      <c r="F121" s="8"/>
      <c r="G121" s="8"/>
    </row>
    <row r="122" spans="2:11" x14ac:dyDescent="0.25">
      <c r="B122" s="8"/>
      <c r="C122" s="8"/>
      <c r="D122" s="8"/>
      <c r="E122" s="8"/>
      <c r="F122" s="8"/>
      <c r="G122" s="8"/>
    </row>
    <row r="123" spans="2:11" x14ac:dyDescent="0.25">
      <c r="B123" s="8"/>
      <c r="C123" s="8"/>
      <c r="D123" s="8"/>
      <c r="E123" s="8"/>
      <c r="F123" s="8"/>
      <c r="G123" s="8"/>
    </row>
    <row r="124" spans="2:11" x14ac:dyDescent="0.25">
      <c r="B124" s="8"/>
      <c r="C124" s="8"/>
      <c r="D124" s="8"/>
      <c r="E124" s="8"/>
      <c r="F124" s="8"/>
      <c r="G124" s="8"/>
    </row>
    <row r="125" spans="2:11" x14ac:dyDescent="0.25">
      <c r="B125" s="8"/>
      <c r="C125" s="8"/>
      <c r="D125" s="8"/>
      <c r="E125" s="8"/>
      <c r="F125" s="8"/>
      <c r="G125" s="8"/>
    </row>
    <row r="126" spans="2:11" x14ac:dyDescent="0.25">
      <c r="B126" s="8"/>
      <c r="C126" s="8"/>
      <c r="D126" s="8"/>
      <c r="E126" s="8"/>
      <c r="F126" s="8"/>
      <c r="G126" s="8"/>
    </row>
    <row r="127" spans="2:11" x14ac:dyDescent="0.25">
      <c r="B127" s="8"/>
      <c r="C127" s="8"/>
      <c r="D127" s="8"/>
      <c r="E127" s="8"/>
      <c r="F127" s="8"/>
      <c r="G127" s="8"/>
    </row>
    <row r="128" spans="2:11" x14ac:dyDescent="0.25">
      <c r="B128" s="8"/>
      <c r="C128" s="8"/>
      <c r="D128" s="8"/>
      <c r="E128" s="8"/>
      <c r="F128" s="8"/>
      <c r="G128" s="8"/>
    </row>
    <row r="129" spans="2:7" x14ac:dyDescent="0.25">
      <c r="B129" s="8"/>
      <c r="C129" s="8"/>
      <c r="D129" s="8"/>
      <c r="E129" s="8"/>
      <c r="F129" s="8"/>
      <c r="G129" s="8"/>
    </row>
    <row r="130" spans="2:7" x14ac:dyDescent="0.25">
      <c r="B130" s="8"/>
      <c r="C130" s="8"/>
      <c r="D130" s="8"/>
      <c r="E130" s="8"/>
      <c r="F130" s="8"/>
      <c r="G130" s="8"/>
    </row>
    <row r="131" spans="2:7" x14ac:dyDescent="0.25">
      <c r="B131" s="8"/>
      <c r="C131" s="8"/>
      <c r="D131" s="8"/>
      <c r="E131" s="8"/>
      <c r="F131" s="8"/>
      <c r="G131" s="8"/>
    </row>
    <row r="132" spans="2:7" x14ac:dyDescent="0.25">
      <c r="B132" s="8"/>
      <c r="C132" s="8"/>
      <c r="D132" s="8"/>
      <c r="E132" s="8"/>
      <c r="F132" s="8"/>
      <c r="G132" s="8"/>
    </row>
    <row r="133" spans="2:7" x14ac:dyDescent="0.25">
      <c r="B133" s="8"/>
      <c r="C133" s="8"/>
      <c r="D133" s="8"/>
      <c r="E133" s="8"/>
      <c r="F133" s="8"/>
      <c r="G133" s="8"/>
    </row>
    <row r="134" spans="2:7" x14ac:dyDescent="0.25">
      <c r="B134" s="8"/>
      <c r="C134" s="8"/>
      <c r="D134" s="8"/>
      <c r="E134" s="8"/>
      <c r="F134" s="8"/>
      <c r="G134" s="8"/>
    </row>
    <row r="135" spans="2:7" x14ac:dyDescent="0.25">
      <c r="B135" s="8"/>
      <c r="C135" s="8"/>
      <c r="D135" s="8"/>
      <c r="E135" s="8"/>
      <c r="F135" s="8"/>
      <c r="G135" s="8"/>
    </row>
    <row r="136" spans="2:7" x14ac:dyDescent="0.25">
      <c r="B136" s="8"/>
      <c r="C136" s="8"/>
      <c r="D136" s="8"/>
      <c r="E136" s="8"/>
      <c r="F136" s="8"/>
      <c r="G136" s="8"/>
    </row>
    <row r="137" spans="2:7" x14ac:dyDescent="0.25">
      <c r="B137" s="8"/>
      <c r="C137" s="8"/>
      <c r="D137" s="8"/>
      <c r="E137" s="8"/>
      <c r="F137" s="8"/>
      <c r="G137" s="8"/>
    </row>
    <row r="138" spans="2:7" x14ac:dyDescent="0.25">
      <c r="B138" s="8"/>
      <c r="C138" s="8"/>
      <c r="D138" s="8"/>
      <c r="E138" s="8"/>
      <c r="F138" s="8"/>
      <c r="G138" s="8"/>
    </row>
    <row r="139" spans="2:7" x14ac:dyDescent="0.25">
      <c r="B139" s="8"/>
      <c r="C139" s="8"/>
      <c r="D139" s="8"/>
      <c r="E139" s="8"/>
      <c r="F139" s="8"/>
      <c r="G139" s="8"/>
    </row>
    <row r="140" spans="2:7" x14ac:dyDescent="0.25">
      <c r="B140" s="8"/>
      <c r="C140" s="8"/>
      <c r="D140" s="8"/>
      <c r="E140" s="8"/>
      <c r="F140" s="8"/>
      <c r="G140" s="8"/>
    </row>
    <row r="141" spans="2:7" x14ac:dyDescent="0.25">
      <c r="B141" s="8"/>
      <c r="C141" s="8"/>
      <c r="D141" s="8"/>
      <c r="E141" s="8"/>
      <c r="F141" s="8"/>
      <c r="G141" s="8"/>
    </row>
  </sheetData>
  <mergeCells count="20">
    <mergeCell ref="K17:K19"/>
    <mergeCell ref="I17:I19"/>
    <mergeCell ref="B2:K2"/>
    <mergeCell ref="E9:F9"/>
    <mergeCell ref="E16:F16"/>
    <mergeCell ref="E17:F17"/>
    <mergeCell ref="C27:E27"/>
    <mergeCell ref="C26:E26"/>
    <mergeCell ref="C25:E25"/>
    <mergeCell ref="C24:E24"/>
    <mergeCell ref="C23:E23"/>
    <mergeCell ref="C22:E22"/>
    <mergeCell ref="C20:E20"/>
    <mergeCell ref="E8:F8"/>
    <mergeCell ref="E13:F13"/>
    <mergeCell ref="E15:F15"/>
    <mergeCell ref="C21:E21"/>
    <mergeCell ref="E12:F12"/>
    <mergeCell ref="E11:F11"/>
    <mergeCell ref="E10:F10"/>
  </mergeCells>
  <pageMargins left="0.70866141732283472" right="0.70866141732283472" top="0.39370078740157483" bottom="0.39370078740157483" header="0" footer="0"/>
  <pageSetup paperSize="9" scale="82" fitToHeight="2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Materialliste!$A$5:$A$49</xm:f>
          </x14:formula1>
          <xm:sqref>C21:C27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3"/>
  <sheetViews>
    <sheetView zoomScale="160" zoomScaleNormal="160" workbookViewId="0">
      <selection activeCell="A7" sqref="A7"/>
    </sheetView>
  </sheetViews>
  <sheetFormatPr baseColWidth="10" defaultRowHeight="15" x14ac:dyDescent="0.25"/>
  <cols>
    <col min="1" max="1" width="32.140625" customWidth="1"/>
    <col min="2" max="5" width="12" customWidth="1"/>
    <col min="7" max="7" width="16.140625" bestFit="1" customWidth="1"/>
    <col min="8" max="8" width="14.42578125" bestFit="1" customWidth="1"/>
    <col min="9" max="9" width="14.42578125" customWidth="1"/>
    <col min="10" max="10" width="7.7109375" customWidth="1"/>
  </cols>
  <sheetData>
    <row r="2" spans="1:11" x14ac:dyDescent="0.25">
      <c r="A2" s="133" t="s">
        <v>128</v>
      </c>
      <c r="B2" s="134"/>
      <c r="C2" s="134"/>
      <c r="D2" s="135"/>
    </row>
    <row r="3" spans="1:11" x14ac:dyDescent="0.25">
      <c r="A3" s="129"/>
      <c r="B3" s="130"/>
      <c r="C3" s="130"/>
      <c r="D3" s="131"/>
    </row>
    <row r="4" spans="1:11" ht="15.75" thickBot="1" x14ac:dyDescent="0.3">
      <c r="A4" s="128" t="s">
        <v>129</v>
      </c>
      <c r="B4" s="134"/>
      <c r="C4" s="134"/>
      <c r="D4" s="135"/>
      <c r="G4" t="s">
        <v>130</v>
      </c>
      <c r="H4" t="s">
        <v>130</v>
      </c>
      <c r="I4" t="s">
        <v>130</v>
      </c>
      <c r="J4" t="s">
        <v>130</v>
      </c>
      <c r="K4" t="s">
        <v>131</v>
      </c>
    </row>
    <row r="5" spans="1:11" ht="15.75" thickBot="1" x14ac:dyDescent="0.3">
      <c r="A5" s="136" t="s">
        <v>132</v>
      </c>
      <c r="B5" s="117">
        <v>1000</v>
      </c>
      <c r="C5" s="164" t="s">
        <v>133</v>
      </c>
      <c r="D5" s="165"/>
      <c r="G5">
        <v>700</v>
      </c>
      <c r="H5">
        <v>900</v>
      </c>
      <c r="I5">
        <v>1100</v>
      </c>
      <c r="J5">
        <v>1400</v>
      </c>
      <c r="K5">
        <v>1400</v>
      </c>
    </row>
    <row r="6" spans="1:11" x14ac:dyDescent="0.25">
      <c r="A6" s="136" t="s">
        <v>134</v>
      </c>
      <c r="B6" s="138">
        <f>SUM(G7:K7)</f>
        <v>0.08</v>
      </c>
      <c r="C6" s="164" t="s">
        <v>135</v>
      </c>
      <c r="D6" s="165"/>
      <c r="G6">
        <v>0.03</v>
      </c>
      <c r="H6">
        <v>0.05</v>
      </c>
      <c r="I6">
        <v>0.08</v>
      </c>
      <c r="J6">
        <v>0.12</v>
      </c>
      <c r="K6">
        <v>0.17</v>
      </c>
    </row>
    <row r="7" spans="1:11" ht="15.75" thickBot="1" x14ac:dyDescent="0.3">
      <c r="A7" s="136" t="s">
        <v>136</v>
      </c>
      <c r="B7" s="138">
        <v>2.8000000000000001E-2</v>
      </c>
      <c r="C7" s="164" t="s">
        <v>137</v>
      </c>
      <c r="D7" s="165"/>
      <c r="G7">
        <f>IF($B$5&lt;=700,G6,0)</f>
        <v>0</v>
      </c>
      <c r="H7">
        <f>IF(AND($B$5&gt;700,$B$5&lt;=900),H6,0)</f>
        <v>0</v>
      </c>
      <c r="I7">
        <f>IF(AND($B$5&gt;900,$B$5&lt;=1100),I6,0)</f>
        <v>0.08</v>
      </c>
      <c r="J7">
        <f>IF(AND($B$5&gt;1100,$B$5&lt;=1400),J6,0)</f>
        <v>0</v>
      </c>
      <c r="K7">
        <f>IF($B$5&gt;1400,K6,0)</f>
        <v>0</v>
      </c>
    </row>
    <row r="8" spans="1:11" ht="15.75" thickBot="1" x14ac:dyDescent="0.3">
      <c r="A8" s="136" t="s">
        <v>138</v>
      </c>
      <c r="B8" s="117">
        <v>3700</v>
      </c>
      <c r="C8" s="164" t="s">
        <v>127</v>
      </c>
      <c r="D8" s="165"/>
    </row>
    <row r="9" spans="1:11" ht="9.9499999999999993" customHeight="1" x14ac:dyDescent="0.25">
      <c r="A9" s="136"/>
      <c r="B9" s="130"/>
      <c r="C9" s="130"/>
      <c r="D9" s="131"/>
    </row>
    <row r="10" spans="1:11" x14ac:dyDescent="0.25">
      <c r="A10" s="136" t="s">
        <v>139</v>
      </c>
      <c r="B10" s="130">
        <f>B7*B8</f>
        <v>103.60000000000001</v>
      </c>
      <c r="C10" s="164" t="s">
        <v>140</v>
      </c>
      <c r="D10" s="165"/>
      <c r="E10" s="139"/>
    </row>
    <row r="11" spans="1:11" x14ac:dyDescent="0.25">
      <c r="A11" s="136" t="s">
        <v>141</v>
      </c>
      <c r="B11" s="130">
        <f>B6*B8</f>
        <v>296</v>
      </c>
      <c r="C11" s="164" t="s">
        <v>140</v>
      </c>
      <c r="D11" s="165"/>
      <c r="E11" s="139"/>
    </row>
    <row r="12" spans="1:11" x14ac:dyDescent="0.25">
      <c r="A12" s="136" t="s">
        <v>142</v>
      </c>
      <c r="B12" s="130">
        <f>(B10+B11)*0.2</f>
        <v>79.920000000000016</v>
      </c>
      <c r="C12" s="164" t="s">
        <v>140</v>
      </c>
      <c r="D12" s="165"/>
      <c r="E12" s="140"/>
    </row>
    <row r="13" spans="1:11" x14ac:dyDescent="0.25">
      <c r="A13" s="141" t="s">
        <v>143</v>
      </c>
      <c r="B13" s="142">
        <f>SUM(B10:B12)</f>
        <v>479.52000000000004</v>
      </c>
      <c r="C13" s="166" t="s">
        <v>140</v>
      </c>
      <c r="D13" s="167"/>
    </row>
    <row r="14" spans="1:11" x14ac:dyDescent="0.25">
      <c r="A14" s="129"/>
      <c r="B14" s="130"/>
      <c r="C14" s="130"/>
      <c r="D14" s="131"/>
    </row>
    <row r="15" spans="1:11" ht="15.75" thickBot="1" x14ac:dyDescent="0.3">
      <c r="A15" s="128" t="s">
        <v>144</v>
      </c>
      <c r="B15" s="134"/>
      <c r="C15" s="134"/>
      <c r="D15" s="135"/>
    </row>
    <row r="16" spans="1:11" ht="15.75" thickBot="1" x14ac:dyDescent="0.3">
      <c r="A16" s="136" t="s">
        <v>145</v>
      </c>
      <c r="B16" s="117">
        <v>120</v>
      </c>
      <c r="C16" s="164" t="s">
        <v>146</v>
      </c>
      <c r="D16" s="165"/>
    </row>
    <row r="17" spans="1:4" ht="15.75" thickBot="1" x14ac:dyDescent="0.3">
      <c r="A17" s="136" t="s">
        <v>138</v>
      </c>
      <c r="B17" s="117">
        <f>B8</f>
        <v>3700</v>
      </c>
      <c r="C17" s="164" t="s">
        <v>127</v>
      </c>
      <c r="D17" s="165"/>
    </row>
    <row r="18" spans="1:4" ht="9.9499999999999993" customHeight="1" x14ac:dyDescent="0.25">
      <c r="A18" s="143"/>
      <c r="B18" s="130"/>
      <c r="C18" s="164"/>
      <c r="D18" s="165"/>
    </row>
    <row r="19" spans="1:4" x14ac:dyDescent="0.25">
      <c r="A19" s="132" t="s">
        <v>143</v>
      </c>
      <c r="B19" s="142">
        <f>B17*B16/1000</f>
        <v>444</v>
      </c>
      <c r="C19" s="166" t="s">
        <v>126</v>
      </c>
      <c r="D19" s="167"/>
    </row>
    <row r="21" spans="1:4" x14ac:dyDescent="0.25">
      <c r="A21" t="s">
        <v>147</v>
      </c>
      <c r="B21" s="144" t="s">
        <v>148</v>
      </c>
    </row>
    <row r="22" spans="1:4" x14ac:dyDescent="0.25">
      <c r="A22" t="s">
        <v>149</v>
      </c>
    </row>
    <row r="23" spans="1:4" x14ac:dyDescent="0.25">
      <c r="A23" t="s">
        <v>150</v>
      </c>
    </row>
  </sheetData>
  <mergeCells count="12">
    <mergeCell ref="C19:D19"/>
    <mergeCell ref="C5:D5"/>
    <mergeCell ref="C6:D6"/>
    <mergeCell ref="C7:D7"/>
    <mergeCell ref="C8:D8"/>
    <mergeCell ref="C10:D10"/>
    <mergeCell ref="C11:D11"/>
    <mergeCell ref="C12:D12"/>
    <mergeCell ref="C13:D13"/>
    <mergeCell ref="C16:D16"/>
    <mergeCell ref="C17:D17"/>
    <mergeCell ref="C18:D18"/>
  </mergeCells>
  <hyperlinks>
    <hyperlink ref="B21" r:id="rId1" xr:uid="{2589DFD8-7F6D-084F-941B-9669BFC3B3D8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49"/>
  <sheetViews>
    <sheetView workbookViewId="0">
      <selection activeCell="A5" sqref="A5"/>
    </sheetView>
  </sheetViews>
  <sheetFormatPr baseColWidth="10" defaultRowHeight="15" x14ac:dyDescent="0.25"/>
  <cols>
    <col min="1" max="1" width="55.42578125" customWidth="1"/>
  </cols>
  <sheetData>
    <row r="6" spans="1:1" x14ac:dyDescent="0.25">
      <c r="A6" t="s">
        <v>57</v>
      </c>
    </row>
    <row r="7" spans="1:1" x14ac:dyDescent="0.25">
      <c r="A7" t="s">
        <v>81</v>
      </c>
    </row>
    <row r="8" spans="1:1" x14ac:dyDescent="0.25">
      <c r="A8" t="s">
        <v>86</v>
      </c>
    </row>
    <row r="9" spans="1:1" x14ac:dyDescent="0.25">
      <c r="A9" t="s">
        <v>58</v>
      </c>
    </row>
    <row r="10" spans="1:1" x14ac:dyDescent="0.25">
      <c r="A10" t="s">
        <v>68</v>
      </c>
    </row>
    <row r="11" spans="1:1" x14ac:dyDescent="0.25">
      <c r="A11" t="s">
        <v>83</v>
      </c>
    </row>
    <row r="12" spans="1:1" x14ac:dyDescent="0.25">
      <c r="A12" t="s">
        <v>85</v>
      </c>
    </row>
    <row r="13" spans="1:1" x14ac:dyDescent="0.25">
      <c r="A13" t="s">
        <v>91</v>
      </c>
    </row>
    <row r="14" spans="1:1" x14ac:dyDescent="0.25">
      <c r="A14" t="s">
        <v>71</v>
      </c>
    </row>
    <row r="15" spans="1:1" x14ac:dyDescent="0.25">
      <c r="A15" t="s">
        <v>65</v>
      </c>
    </row>
    <row r="16" spans="1:1" x14ac:dyDescent="0.25">
      <c r="A16" t="s">
        <v>74</v>
      </c>
    </row>
    <row r="17" spans="1:1" x14ac:dyDescent="0.25">
      <c r="A17" t="s">
        <v>89</v>
      </c>
    </row>
    <row r="18" spans="1:1" x14ac:dyDescent="0.25">
      <c r="A18" t="s">
        <v>54</v>
      </c>
    </row>
    <row r="19" spans="1:1" x14ac:dyDescent="0.25">
      <c r="A19" t="s">
        <v>53</v>
      </c>
    </row>
    <row r="20" spans="1:1" x14ac:dyDescent="0.25">
      <c r="A20" t="s">
        <v>60</v>
      </c>
    </row>
    <row r="21" spans="1:1" x14ac:dyDescent="0.25">
      <c r="A21" t="s">
        <v>76</v>
      </c>
    </row>
    <row r="22" spans="1:1" x14ac:dyDescent="0.25">
      <c r="A22" t="s">
        <v>75</v>
      </c>
    </row>
    <row r="23" spans="1:1" x14ac:dyDescent="0.25">
      <c r="A23" t="s">
        <v>66</v>
      </c>
    </row>
    <row r="24" spans="1:1" x14ac:dyDescent="0.25">
      <c r="A24" t="s">
        <v>59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61</v>
      </c>
    </row>
    <row r="29" spans="1:1" x14ac:dyDescent="0.25">
      <c r="A29" t="s">
        <v>55</v>
      </c>
    </row>
    <row r="30" spans="1:1" x14ac:dyDescent="0.25">
      <c r="A30" t="s">
        <v>79</v>
      </c>
    </row>
    <row r="31" spans="1:1" x14ac:dyDescent="0.25">
      <c r="A31" t="s">
        <v>78</v>
      </c>
    </row>
    <row r="32" spans="1:1" x14ac:dyDescent="0.25">
      <c r="A32" t="s">
        <v>90</v>
      </c>
    </row>
    <row r="33" spans="1:1" x14ac:dyDescent="0.25">
      <c r="A33" t="s">
        <v>67</v>
      </c>
    </row>
    <row r="34" spans="1:1" x14ac:dyDescent="0.25">
      <c r="A34" t="s">
        <v>84</v>
      </c>
    </row>
    <row r="35" spans="1:1" x14ac:dyDescent="0.25">
      <c r="A35" t="s">
        <v>77</v>
      </c>
    </row>
    <row r="36" spans="1:1" x14ac:dyDescent="0.25">
      <c r="A36" t="s">
        <v>82</v>
      </c>
    </row>
    <row r="37" spans="1:1" x14ac:dyDescent="0.25">
      <c r="A37" t="s">
        <v>70</v>
      </c>
    </row>
    <row r="38" spans="1:1" x14ac:dyDescent="0.25">
      <c r="A38" t="s">
        <v>72</v>
      </c>
    </row>
    <row r="39" spans="1:1" x14ac:dyDescent="0.25">
      <c r="A39" t="s">
        <v>80</v>
      </c>
    </row>
    <row r="40" spans="1:1" x14ac:dyDescent="0.25">
      <c r="A40" t="s">
        <v>56</v>
      </c>
    </row>
    <row r="41" spans="1:1" x14ac:dyDescent="0.25">
      <c r="A41" t="s">
        <v>52</v>
      </c>
    </row>
    <row r="42" spans="1:1" x14ac:dyDescent="0.25">
      <c r="A42" t="s">
        <v>69</v>
      </c>
    </row>
    <row r="43" spans="1:1" x14ac:dyDescent="0.25">
      <c r="A43" t="s">
        <v>73</v>
      </c>
    </row>
    <row r="44" spans="1:1" x14ac:dyDescent="0.25">
      <c r="A44" t="s">
        <v>88</v>
      </c>
    </row>
    <row r="45" spans="1:1" x14ac:dyDescent="0.25">
      <c r="A45" s="52"/>
    </row>
    <row r="46" spans="1:1" x14ac:dyDescent="0.25">
      <c r="A46" s="52"/>
    </row>
    <row r="47" spans="1:1" x14ac:dyDescent="0.25">
      <c r="A47" s="52"/>
    </row>
    <row r="48" spans="1:1" x14ac:dyDescent="0.25">
      <c r="A48" s="52"/>
    </row>
    <row r="49" spans="1:1" x14ac:dyDescent="0.25">
      <c r="A49" s="52"/>
    </row>
  </sheetData>
  <sortState ref="A3:A55">
    <sortCondition ref="A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Stammdaten</vt:lpstr>
      <vt:lpstr>Kostenrechnung</vt:lpstr>
      <vt:lpstr>Sickerwassergrube</vt:lpstr>
      <vt:lpstr>Materialliste</vt:lpstr>
      <vt:lpstr>Kostenrechnung!Druckbereich</vt:lpstr>
    </vt:vector>
  </TitlesOfParts>
  <Company>BTF-RELOADED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Stuermer</dc:creator>
  <cp:lastModifiedBy>Melanie Waltner</cp:lastModifiedBy>
  <cp:lastPrinted>2018-10-09T16:48:17Z</cp:lastPrinted>
  <dcterms:created xsi:type="dcterms:W3CDTF">2018-10-08T15:13:09Z</dcterms:created>
  <dcterms:modified xsi:type="dcterms:W3CDTF">2022-07-25T11:44:43Z</dcterms:modified>
</cp:coreProperties>
</file>